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pen\APBDesa\APBDesa 2025\"/>
    </mc:Choice>
  </mc:AlternateContent>
  <xr:revisionPtr revIDLastSave="0" documentId="13_ncr:1_{770380FE-7229-49C0-98C3-C8FCE81301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ID I" sheetId="1" r:id="rId1"/>
    <sheet name="BID III" sheetId="5" r:id="rId2"/>
    <sheet name="BID II" sheetId="3" r:id="rId3"/>
    <sheet name="BID IV" sheetId="2" r:id="rId4"/>
    <sheet name="BID V" sheetId="26" r:id="rId5"/>
    <sheet name="Sheet3" sheetId="31" r:id="rId6"/>
    <sheet name="Penjabaran" sheetId="27" r:id="rId7"/>
    <sheet name="Sheet2" sheetId="28" r:id="rId8"/>
    <sheet name="Htungan" sheetId="25" r:id="rId9"/>
    <sheet name="BPJS" sheetId="29" r:id="rId10"/>
    <sheet name="Staf" sheetId="30" r:id="rId11"/>
    <sheet name="RKP2025" sheetId="21" r:id="rId12"/>
    <sheet name="DU RKP" sheetId="9" r:id="rId13"/>
    <sheet name="Prioritas Penggunaan DD 2024" sheetId="22" r:id="rId14"/>
    <sheet name="Hitungan" sheetId="23" r:id="rId15"/>
    <sheet name="Sheet1" sheetId="24" r:id="rId16"/>
    <sheet name="Prioritas Dana Desa" sheetId="16" r:id="rId17"/>
    <sheet name="Rencana Pembiayaan Desa" sheetId="15" r:id="rId18"/>
    <sheet name="Usulan dana desa bid kesehatan" sheetId="18" r:id="rId19"/>
    <sheet name="Daftar Prioritas" sheetId="8" r:id="rId20"/>
    <sheet name="Daftar Usulan SDGs VI B" sheetId="11" r:id="rId21"/>
    <sheet name="Kerja Sama Antar Desa VI.C" sheetId="12" r:id="rId22"/>
    <sheet name="LPPK" sheetId="13" r:id="rId23"/>
    <sheet name="Kerja Sama Pihak Ke 3 VI.D" sheetId="14" r:id="rId24"/>
  </sheets>
  <externalReferences>
    <externalReference r:id="rId25"/>
    <externalReference r:id="rId26"/>
  </externalReferences>
  <definedNames>
    <definedName name="_xlnm._FilterDatabase" localSheetId="6" hidden="1">Penjabaran!$A$43:$L$1234</definedName>
    <definedName name="_xlnm._FilterDatabase" localSheetId="7" hidden="1">Sheet2!$A$27:$J$340</definedName>
    <definedName name="_xlnm.Print_Area" localSheetId="0">'BID I'!$A$808:$G$842</definedName>
    <definedName name="_xlnm.Print_Area" localSheetId="2">'BID II'!$A$2737:$G$2768</definedName>
    <definedName name="_xlnm.Print_Area" localSheetId="1">'BID III'!$A$270:$G$342</definedName>
    <definedName name="_xlnm.Print_Area" localSheetId="3">'BID IV'!#REF!</definedName>
    <definedName name="_xlnm.Print_Area" localSheetId="9">BPJS!$A$1:$D$36</definedName>
    <definedName name="_xlnm.Print_Area" localSheetId="19">'Daftar Prioritas'!$A$1:$M$140</definedName>
    <definedName name="_xlnm.Print_Area" localSheetId="6">Penjabaran!$A$16:$L$1226</definedName>
    <definedName name="_xlnm.Print_Area" localSheetId="17">'Rencana Pembiayaan Desa'!$A$1:$J$127</definedName>
    <definedName name="_xlnm.Print_Area" localSheetId="11">'RKP2025'!$A$1:$N$178</definedName>
    <definedName name="_xlnm.Print_Area" localSheetId="7">Sheet2!$A$3:$J$348</definedName>
    <definedName name="_xlnm.Print_Area" localSheetId="18">'Usulan dana desa bid kesehatan'!$A$1:$N$26</definedName>
    <definedName name="_xlnm.Print_Titles" localSheetId="6">Penjabaran!$16:$18</definedName>
    <definedName name="_xlnm.Print_Titles" localSheetId="11">'RKP2025'!$9:$11</definedName>
    <definedName name="_xlnm.Print_Titles" localSheetId="7">Sheet2!$16:$18</definedName>
    <definedName name="_xlnm.Print_Titles" localSheetId="18">'Usulan dana desa bid kesehatan'!$4:$5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25" l="1"/>
  <c r="M773" i="27"/>
  <c r="M791" i="27"/>
  <c r="F693" i="3"/>
  <c r="H694" i="3"/>
  <c r="H695" i="3" s="1"/>
  <c r="K94" i="27"/>
  <c r="M64" i="27"/>
  <c r="K88" i="27"/>
  <c r="K89" i="27"/>
  <c r="H89" i="27"/>
  <c r="K73" i="27"/>
  <c r="K74" i="27"/>
  <c r="H74" i="27"/>
  <c r="K69" i="27"/>
  <c r="K70" i="27"/>
  <c r="H70" i="27"/>
  <c r="H227" i="1"/>
  <c r="H226" i="1"/>
  <c r="H225" i="1"/>
  <c r="H224" i="1"/>
  <c r="H217" i="1"/>
  <c r="H216" i="1"/>
  <c r="H214" i="1"/>
  <c r="H215" i="1"/>
  <c r="L2" i="25"/>
  <c r="F185" i="3"/>
  <c r="F186" i="3"/>
  <c r="K844" i="5"/>
  <c r="K847" i="5"/>
  <c r="K849" i="5"/>
  <c r="K851" i="5"/>
  <c r="K852" i="5"/>
  <c r="K854" i="5"/>
  <c r="F843" i="5"/>
  <c r="U843" i="5" s="1"/>
  <c r="F986" i="5"/>
  <c r="F985" i="5"/>
  <c r="F984" i="5"/>
  <c r="F983" i="5"/>
  <c r="F982" i="5"/>
  <c r="F981" i="5"/>
  <c r="F980" i="5"/>
  <c r="F979" i="5"/>
  <c r="F975" i="5"/>
  <c r="F974" i="5"/>
  <c r="F973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3" i="5"/>
  <c r="F922" i="5"/>
  <c r="F921" i="5"/>
  <c r="F988" i="5" l="1"/>
  <c r="F946" i="5"/>
  <c r="F924" i="5"/>
  <c r="F976" i="5"/>
  <c r="F989" i="5" l="1"/>
  <c r="L989" i="5" s="1"/>
  <c r="F947" i="5"/>
  <c r="L947" i="5" s="1"/>
  <c r="E65" i="25" l="1"/>
  <c r="F1012" i="5"/>
  <c r="F1013" i="5" s="1"/>
  <c r="F1512" i="5"/>
  <c r="F1541" i="5"/>
  <c r="F1569" i="5"/>
  <c r="B23" i="31"/>
  <c r="B22" i="31"/>
  <c r="B21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3" i="31"/>
  <c r="B2" i="31"/>
  <c r="F1165" i="5"/>
  <c r="F1166" i="5" s="1"/>
  <c r="C188" i="3" l="1"/>
  <c r="C193" i="3"/>
  <c r="J1626" i="3"/>
  <c r="C383" i="3"/>
  <c r="F383" i="3" s="1"/>
  <c r="C390" i="3"/>
  <c r="F390" i="3" s="1"/>
  <c r="C389" i="3"/>
  <c r="F389" i="3" s="1"/>
  <c r="C484" i="3"/>
  <c r="H501" i="3"/>
  <c r="C467" i="3"/>
  <c r="C464" i="3"/>
  <c r="M36" i="25"/>
  <c r="M37" i="25" s="1"/>
  <c r="F799" i="1"/>
  <c r="J799" i="1" s="1"/>
  <c r="C1515" i="3"/>
  <c r="C3012" i="3"/>
  <c r="F139" i="5"/>
  <c r="F138" i="5"/>
  <c r="F52" i="3"/>
  <c r="R52" i="3" s="1"/>
  <c r="W68" i="3"/>
  <c r="C1070" i="1"/>
  <c r="C1346" i="1"/>
  <c r="C630" i="1"/>
  <c r="H631" i="1"/>
  <c r="F229" i="1"/>
  <c r="Y229" i="1" s="1"/>
  <c r="Y2" i="1" s="1"/>
  <c r="U8" i="25" s="1"/>
  <c r="U13" i="25" s="1"/>
  <c r="F786" i="1"/>
  <c r="W786" i="1" s="1"/>
  <c r="F2997" i="3"/>
  <c r="U2997" i="3" s="1"/>
  <c r="F180" i="3"/>
  <c r="F790" i="1"/>
  <c r="Q790" i="1" s="1"/>
  <c r="F261" i="1"/>
  <c r="H44" i="1"/>
  <c r="F17" i="25"/>
  <c r="C663" i="3"/>
  <c r="F663" i="3" s="1"/>
  <c r="C661" i="3"/>
  <c r="C653" i="3"/>
  <c r="F653" i="3" s="1"/>
  <c r="C652" i="3"/>
  <c r="C736" i="3"/>
  <c r="C746" i="3"/>
  <c r="C1527" i="3"/>
  <c r="C1514" i="3"/>
  <c r="F471" i="3"/>
  <c r="K471" i="3" s="1"/>
  <c r="F473" i="3"/>
  <c r="K473" i="3" s="1"/>
  <c r="F474" i="3"/>
  <c r="K474" i="3" s="1"/>
  <c r="F475" i="3"/>
  <c r="K475" i="3" s="1"/>
  <c r="F476" i="3"/>
  <c r="K476" i="3" s="1"/>
  <c r="F477" i="3"/>
  <c r="K477" i="3" s="1"/>
  <c r="F478" i="3"/>
  <c r="K478" i="3" s="1"/>
  <c r="F472" i="3"/>
  <c r="K472" i="3" s="1"/>
  <c r="C488" i="3"/>
  <c r="C469" i="3"/>
  <c r="C468" i="3"/>
  <c r="C459" i="3"/>
  <c r="F1518" i="3"/>
  <c r="F1519" i="3"/>
  <c r="F1520" i="3"/>
  <c r="F1521" i="3"/>
  <c r="F1517" i="3"/>
  <c r="F333" i="3"/>
  <c r="F334" i="3"/>
  <c r="F335" i="3"/>
  <c r="F336" i="3"/>
  <c r="F337" i="3"/>
  <c r="F338" i="3"/>
  <c r="F332" i="3"/>
  <c r="C1278" i="1" l="1"/>
  <c r="L2" i="1" l="1"/>
  <c r="M2" i="1"/>
  <c r="R2" i="1"/>
  <c r="U2" i="1"/>
  <c r="F873" i="3"/>
  <c r="F1493" i="1" l="1"/>
  <c r="F1494" i="1" s="1"/>
  <c r="F251" i="1"/>
  <c r="J251" i="1" s="1"/>
  <c r="F699" i="1"/>
  <c r="F702" i="1" s="1"/>
  <c r="E25" i="25"/>
  <c r="C600" i="1"/>
  <c r="C20" i="29"/>
  <c r="C21" i="29"/>
  <c r="C22" i="29"/>
  <c r="C19" i="29"/>
  <c r="C37" i="29"/>
  <c r="B8" i="30"/>
  <c r="C10" i="29"/>
  <c r="B10" i="29"/>
  <c r="B9" i="29"/>
  <c r="C9" i="29" s="1"/>
  <c r="B8" i="29"/>
  <c r="C8" i="29" s="1"/>
  <c r="B7" i="29"/>
  <c r="C7" i="29" s="1"/>
  <c r="C5" i="29"/>
  <c r="C36" i="29"/>
  <c r="C35" i="29"/>
  <c r="C34" i="29"/>
  <c r="C29" i="29"/>
  <c r="C30" i="29"/>
  <c r="C28" i="29"/>
  <c r="C27" i="29"/>
  <c r="C26" i="29"/>
  <c r="C16" i="29"/>
  <c r="C15" i="29"/>
  <c r="C14" i="29"/>
  <c r="D2" i="29"/>
  <c r="C3" i="29" s="1"/>
  <c r="D3" i="29" s="1"/>
  <c r="C4" i="29" s="1"/>
  <c r="C522" i="1"/>
  <c r="C524" i="1"/>
  <c r="F98" i="5"/>
  <c r="T98" i="5" s="1"/>
  <c r="F99" i="5"/>
  <c r="T99" i="5" s="1"/>
  <c r="C16" i="26"/>
  <c r="F25" i="25"/>
  <c r="F26" i="25" s="1"/>
  <c r="F21" i="25"/>
  <c r="F19" i="25"/>
  <c r="F22" i="25" s="1"/>
  <c r="C57" i="5"/>
  <c r="C17" i="5"/>
  <c r="C16" i="5"/>
  <c r="I345" i="28"/>
  <c r="I24" i="28"/>
  <c r="I26" i="28"/>
  <c r="I28" i="28"/>
  <c r="I61" i="28"/>
  <c r="I70" i="28"/>
  <c r="I84" i="28"/>
  <c r="I235" i="28"/>
  <c r="I237" i="28"/>
  <c r="I239" i="28"/>
  <c r="I241" i="28"/>
  <c r="I243" i="28"/>
  <c r="I245" i="28"/>
  <c r="I247" i="28"/>
  <c r="I249" i="28"/>
  <c r="I251" i="28"/>
  <c r="I253" i="28"/>
  <c r="I255" i="28"/>
  <c r="I257" i="28"/>
  <c r="I259" i="28"/>
  <c r="I261" i="28"/>
  <c r="I262" i="28"/>
  <c r="I264" i="28"/>
  <c r="I266" i="28"/>
  <c r="I268" i="28"/>
  <c r="I270" i="28"/>
  <c r="I272" i="28"/>
  <c r="I274" i="28"/>
  <c r="I276" i="28"/>
  <c r="I278" i="28"/>
  <c r="I280" i="28"/>
  <c r="I282" i="28"/>
  <c r="I284" i="28"/>
  <c r="I286" i="28"/>
  <c r="I288" i="28"/>
  <c r="I290" i="28"/>
  <c r="I292" i="28"/>
  <c r="I294" i="28"/>
  <c r="I296" i="28"/>
  <c r="I298" i="28"/>
  <c r="I300" i="28"/>
  <c r="I335" i="28"/>
  <c r="I338" i="28"/>
  <c r="I341" i="28"/>
  <c r="I342" i="28"/>
  <c r="I344" i="28"/>
  <c r="I346" i="28"/>
  <c r="I347" i="28"/>
  <c r="F337" i="28"/>
  <c r="F336" i="28"/>
  <c r="F335" i="28"/>
  <c r="F334" i="28"/>
  <c r="F333" i="28"/>
  <c r="K332" i="28"/>
  <c r="F332" i="28"/>
  <c r="F331" i="28"/>
  <c r="K330" i="28"/>
  <c r="F330" i="28"/>
  <c r="F329" i="28"/>
  <c r="K328" i="28"/>
  <c r="F328" i="28"/>
  <c r="F327" i="28"/>
  <c r="K326" i="28"/>
  <c r="F326" i="28"/>
  <c r="K324" i="28"/>
  <c r="F324" i="28"/>
  <c r="F323" i="28"/>
  <c r="F322" i="28"/>
  <c r="F321" i="28"/>
  <c r="F320" i="28"/>
  <c r="F319" i="28"/>
  <c r="F318" i="28"/>
  <c r="F317" i="28"/>
  <c r="F316" i="28"/>
  <c r="F315" i="28"/>
  <c r="F314" i="28"/>
  <c r="F313" i="28"/>
  <c r="F312" i="28"/>
  <c r="F311" i="28"/>
  <c r="F310" i="28"/>
  <c r="F309" i="28"/>
  <c r="F308" i="28"/>
  <c r="F307" i="28"/>
  <c r="F306" i="28"/>
  <c r="F305" i="28"/>
  <c r="F304" i="28"/>
  <c r="F303" i="28"/>
  <c r="F302" i="28"/>
  <c r="F301" i="28"/>
  <c r="F300" i="28"/>
  <c r="F299" i="28"/>
  <c r="F298" i="28"/>
  <c r="F297" i="28"/>
  <c r="F296" i="28"/>
  <c r="F295" i="28"/>
  <c r="F294" i="28"/>
  <c r="F293" i="28"/>
  <c r="F292" i="28"/>
  <c r="F291" i="28"/>
  <c r="F290" i="28"/>
  <c r="F289" i="28"/>
  <c r="F288" i="28"/>
  <c r="F287" i="28"/>
  <c r="F286" i="28"/>
  <c r="F285" i="28"/>
  <c r="F284" i="28"/>
  <c r="F283" i="28"/>
  <c r="F282" i="28"/>
  <c r="F281" i="28"/>
  <c r="F280" i="28"/>
  <c r="F279" i="28"/>
  <c r="F278" i="28"/>
  <c r="F277" i="28"/>
  <c r="F276" i="28"/>
  <c r="F275" i="28"/>
  <c r="F274" i="28"/>
  <c r="F273" i="28"/>
  <c r="F272" i="28"/>
  <c r="F271" i="28"/>
  <c r="F270" i="28"/>
  <c r="F269" i="28"/>
  <c r="F268" i="28"/>
  <c r="F267" i="28"/>
  <c r="F265" i="28"/>
  <c r="F264" i="28"/>
  <c r="F263" i="28"/>
  <c r="F262" i="28"/>
  <c r="F261" i="28"/>
  <c r="F260" i="28"/>
  <c r="F259" i="28"/>
  <c r="F258" i="28"/>
  <c r="F257" i="28"/>
  <c r="F256" i="28"/>
  <c r="F254" i="28"/>
  <c r="F253" i="28"/>
  <c r="F252" i="28"/>
  <c r="F251" i="28"/>
  <c r="F250" i="28"/>
  <c r="F249" i="28"/>
  <c r="F248" i="28"/>
  <c r="F247" i="28"/>
  <c r="F246" i="28"/>
  <c r="F245" i="28"/>
  <c r="F244" i="28"/>
  <c r="F243" i="28"/>
  <c r="F242" i="28"/>
  <c r="F241" i="28"/>
  <c r="F240" i="28"/>
  <c r="F239" i="28"/>
  <c r="F238" i="28"/>
  <c r="F237" i="28"/>
  <c r="F236" i="28"/>
  <c r="F235" i="28"/>
  <c r="F234" i="28"/>
  <c r="F233" i="28"/>
  <c r="F232" i="28"/>
  <c r="F231" i="28"/>
  <c r="F230" i="28"/>
  <c r="F229" i="28"/>
  <c r="F228" i="28"/>
  <c r="F227" i="28"/>
  <c r="F226" i="28"/>
  <c r="F225" i="28"/>
  <c r="F224" i="28"/>
  <c r="F223" i="28"/>
  <c r="F222" i="28"/>
  <c r="F221" i="28"/>
  <c r="F220" i="28"/>
  <c r="F219" i="28"/>
  <c r="F218" i="28"/>
  <c r="F217" i="28"/>
  <c r="F216" i="28"/>
  <c r="F215" i="28"/>
  <c r="F214" i="28"/>
  <c r="F213" i="28"/>
  <c r="F212" i="28"/>
  <c r="F211" i="28"/>
  <c r="F210" i="28"/>
  <c r="F209" i="28"/>
  <c r="F208" i="28"/>
  <c r="F207" i="28"/>
  <c r="F206" i="28"/>
  <c r="F205" i="28"/>
  <c r="F204" i="28"/>
  <c r="F203" i="28"/>
  <c r="F202" i="28"/>
  <c r="F201" i="28"/>
  <c r="F200" i="28"/>
  <c r="F199" i="28"/>
  <c r="F198" i="28"/>
  <c r="F197" i="28"/>
  <c r="F196" i="28"/>
  <c r="F195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K1219" i="27"/>
  <c r="K1226" i="27" s="1"/>
  <c r="I348" i="28" s="1"/>
  <c r="V1494" i="1" l="1"/>
  <c r="I702" i="1"/>
  <c r="I2" i="1" s="1"/>
  <c r="I343" i="28"/>
  <c r="H1211" i="27"/>
  <c r="H1210" i="27"/>
  <c r="H1209" i="27"/>
  <c r="H1208" i="27"/>
  <c r="H1207" i="27"/>
  <c r="H1206" i="27"/>
  <c r="M1200" i="27"/>
  <c r="H1205" i="27"/>
  <c r="H1204" i="27"/>
  <c r="K1203" i="27"/>
  <c r="H1202" i="27"/>
  <c r="H1203" i="27"/>
  <c r="H1201" i="27"/>
  <c r="H1200" i="27"/>
  <c r="M1194" i="27"/>
  <c r="H1199" i="27"/>
  <c r="H1198" i="27"/>
  <c r="K1197" i="27"/>
  <c r="H1196" i="27"/>
  <c r="H1197" i="27"/>
  <c r="H1195" i="27"/>
  <c r="H1194" i="27"/>
  <c r="M1189" i="27"/>
  <c r="H1193" i="27"/>
  <c r="H1191" i="27"/>
  <c r="H1192" i="27"/>
  <c r="H1190" i="27"/>
  <c r="H1189" i="27"/>
  <c r="M1183" i="27"/>
  <c r="H1188" i="27"/>
  <c r="H1187" i="27"/>
  <c r="H1185" i="27"/>
  <c r="H1186" i="27"/>
  <c r="H1184" i="27"/>
  <c r="H1183" i="27"/>
  <c r="H1182" i="27"/>
  <c r="H1181" i="27"/>
  <c r="H1180" i="27"/>
  <c r="H1179" i="27"/>
  <c r="H1178" i="27"/>
  <c r="H1177" i="27"/>
  <c r="H1176" i="27"/>
  <c r="H1175" i="27"/>
  <c r="H1173" i="27"/>
  <c r="H1174" i="27"/>
  <c r="H1172" i="27"/>
  <c r="H1171" i="27"/>
  <c r="H1164" i="27"/>
  <c r="H1170" i="27"/>
  <c r="H1169" i="27"/>
  <c r="H1168" i="27"/>
  <c r="H1167" i="27"/>
  <c r="H1166" i="27"/>
  <c r="H1165" i="27"/>
  <c r="H1163" i="27"/>
  <c r="H1161" i="27"/>
  <c r="H1162" i="27"/>
  <c r="H1160" i="27"/>
  <c r="H1159" i="27"/>
  <c r="H1158" i="27"/>
  <c r="H1157" i="27"/>
  <c r="H1156" i="27"/>
  <c r="H1155" i="27"/>
  <c r="H1154" i="27"/>
  <c r="H1153" i="27"/>
  <c r="H1152" i="27"/>
  <c r="H1150" i="27"/>
  <c r="H1151" i="27"/>
  <c r="H1149" i="27"/>
  <c r="H1148" i="27"/>
  <c r="H1147" i="27"/>
  <c r="H1146" i="27"/>
  <c r="H1145" i="27"/>
  <c r="H1144" i="27"/>
  <c r="H1143" i="27"/>
  <c r="H1142" i="27"/>
  <c r="H1141" i="27"/>
  <c r="H1139" i="27"/>
  <c r="H1140" i="27"/>
  <c r="H1138" i="27"/>
  <c r="H1137" i="27"/>
  <c r="H1136" i="27"/>
  <c r="H1135" i="27"/>
  <c r="H1134" i="27"/>
  <c r="H1132" i="27"/>
  <c r="H1133" i="27"/>
  <c r="H1131" i="27"/>
  <c r="H1130" i="27"/>
  <c r="H1129" i="27"/>
  <c r="H1128" i="27"/>
  <c r="H1127" i="27"/>
  <c r="H1126" i="27"/>
  <c r="H1124" i="27"/>
  <c r="H1125" i="27"/>
  <c r="H1123" i="27"/>
  <c r="H1122" i="27"/>
  <c r="H1121" i="27"/>
  <c r="H1120" i="27"/>
  <c r="H1119" i="27"/>
  <c r="H1118" i="27"/>
  <c r="H1117" i="27"/>
  <c r="H1116" i="27"/>
  <c r="H1114" i="27"/>
  <c r="H1115" i="27"/>
  <c r="H1113" i="27"/>
  <c r="H1112" i="27"/>
  <c r="H1111" i="27"/>
  <c r="H1110" i="27"/>
  <c r="H1109" i="27"/>
  <c r="H1108" i="27"/>
  <c r="H1107" i="27"/>
  <c r="H1105" i="27"/>
  <c r="H1106" i="27"/>
  <c r="H1104" i="27"/>
  <c r="H1103" i="27"/>
  <c r="H1102" i="27"/>
  <c r="H1101" i="27"/>
  <c r="H1100" i="27"/>
  <c r="H1099" i="27"/>
  <c r="H1097" i="27"/>
  <c r="H1098" i="27"/>
  <c r="H1096" i="27"/>
  <c r="H1095" i="27"/>
  <c r="H1094" i="27"/>
  <c r="H1093" i="27"/>
  <c r="K1092" i="27"/>
  <c r="H1092" i="27"/>
  <c r="H1091" i="27"/>
  <c r="H1090" i="27"/>
  <c r="H1089" i="27"/>
  <c r="H1088" i="27"/>
  <c r="H1086" i="27"/>
  <c r="H1087" i="27"/>
  <c r="H1085" i="27"/>
  <c r="H1084" i="27"/>
  <c r="H1083" i="27"/>
  <c r="H1082" i="27"/>
  <c r="H1081" i="27"/>
  <c r="H1080" i="27"/>
  <c r="H1079" i="27"/>
  <c r="H1078" i="27"/>
  <c r="H1077" i="27"/>
  <c r="H1075" i="27"/>
  <c r="H1076" i="27"/>
  <c r="H1074" i="27"/>
  <c r="H1073" i="27"/>
  <c r="H1072" i="27"/>
  <c r="H1070" i="27"/>
  <c r="H1071" i="27"/>
  <c r="H1069" i="27"/>
  <c r="H1068" i="27"/>
  <c r="H1066" i="27"/>
  <c r="H1067" i="27"/>
  <c r="H1065" i="27"/>
  <c r="H1064" i="27"/>
  <c r="H1063" i="27"/>
  <c r="H1062" i="27"/>
  <c r="H1061" i="27"/>
  <c r="H1060" i="27"/>
  <c r="H1058" i="27"/>
  <c r="H1059" i="27"/>
  <c r="H1057" i="27"/>
  <c r="H1056" i="27"/>
  <c r="H1054" i="27"/>
  <c r="H1055" i="27"/>
  <c r="H1053" i="27"/>
  <c r="H1052" i="27"/>
  <c r="H1050" i="27"/>
  <c r="H1051" i="27"/>
  <c r="H1049" i="27"/>
  <c r="H1048" i="27"/>
  <c r="H1046" i="27"/>
  <c r="H1047" i="27"/>
  <c r="H1045" i="27"/>
  <c r="H1044" i="27"/>
  <c r="H1042" i="27"/>
  <c r="H1043" i="27"/>
  <c r="H1041" i="27"/>
  <c r="H1040" i="27"/>
  <c r="H1038" i="27"/>
  <c r="H1039" i="27"/>
  <c r="H1037" i="27"/>
  <c r="H1036" i="27"/>
  <c r="H1034" i="27"/>
  <c r="H1035" i="27"/>
  <c r="H1033" i="27"/>
  <c r="H1032" i="27"/>
  <c r="H1030" i="27"/>
  <c r="H1031" i="27"/>
  <c r="H1029" i="27"/>
  <c r="H1028" i="27"/>
  <c r="H1027" i="27"/>
  <c r="H1026" i="27"/>
  <c r="H1025" i="27"/>
  <c r="H1023" i="27"/>
  <c r="H1024" i="27"/>
  <c r="H1022" i="27"/>
  <c r="H1021" i="27"/>
  <c r="H1019" i="27"/>
  <c r="H1020" i="27"/>
  <c r="H1018" i="27"/>
  <c r="H1017" i="27" l="1"/>
  <c r="H1016" i="27"/>
  <c r="H1015" i="27"/>
  <c r="H1014" i="27"/>
  <c r="H1013" i="27"/>
  <c r="H1012" i="27"/>
  <c r="H1011" i="27"/>
  <c r="H1010" i="27"/>
  <c r="H1008" i="27"/>
  <c r="H1009" i="27"/>
  <c r="H1007" i="27"/>
  <c r="H1006" i="27"/>
  <c r="H1005" i="27"/>
  <c r="H1004" i="27"/>
  <c r="H1003" i="27"/>
  <c r="H1002" i="27"/>
  <c r="H1001" i="27"/>
  <c r="H1000" i="27"/>
  <c r="H998" i="27"/>
  <c r="H999" i="27"/>
  <c r="H997" i="27"/>
  <c r="H996" i="27"/>
  <c r="H995" i="27"/>
  <c r="H994" i="27"/>
  <c r="H993" i="27"/>
  <c r="H992" i="27"/>
  <c r="H991" i="27"/>
  <c r="H989" i="27"/>
  <c r="H990" i="27"/>
  <c r="H988" i="27"/>
  <c r="H987" i="27"/>
  <c r="H986" i="27"/>
  <c r="H985" i="27"/>
  <c r="H984" i="27"/>
  <c r="H983" i="27"/>
  <c r="H982" i="27"/>
  <c r="H981" i="27"/>
  <c r="H980" i="27"/>
  <c r="H979" i="27"/>
  <c r="H978" i="27"/>
  <c r="H976" i="27"/>
  <c r="H977" i="27"/>
  <c r="H975" i="27"/>
  <c r="H974" i="27"/>
  <c r="H963" i="27"/>
  <c r="H962" i="27"/>
  <c r="H973" i="27"/>
  <c r="H972" i="27"/>
  <c r="H971" i="27"/>
  <c r="H970" i="27"/>
  <c r="H969" i="27"/>
  <c r="H968" i="27"/>
  <c r="H966" i="27"/>
  <c r="H967" i="27"/>
  <c r="H965" i="27"/>
  <c r="H964" i="27"/>
  <c r="H961" i="27"/>
  <c r="H960" i="27"/>
  <c r="H959" i="27"/>
  <c r="H957" i="27"/>
  <c r="H958" i="27"/>
  <c r="H956" i="27"/>
  <c r="H955" i="27"/>
  <c r="H954" i="27"/>
  <c r="H953" i="27"/>
  <c r="H952" i="27"/>
  <c r="H951" i="27"/>
  <c r="H939" i="27"/>
  <c r="H950" i="27"/>
  <c r="H947" i="27"/>
  <c r="H948" i="27"/>
  <c r="H949" i="27"/>
  <c r="H946" i="27"/>
  <c r="H945" i="27"/>
  <c r="H944" i="27"/>
  <c r="H943" i="27"/>
  <c r="H942" i="27"/>
  <c r="H941" i="27"/>
  <c r="H940" i="27"/>
  <c r="H938" i="27"/>
  <c r="H937" i="27"/>
  <c r="H936" i="27"/>
  <c r="H935" i="27"/>
  <c r="H934" i="27"/>
  <c r="H933" i="27"/>
  <c r="H932" i="27"/>
  <c r="H931" i="27"/>
  <c r="H930" i="27"/>
  <c r="H929" i="27"/>
  <c r="H928" i="27"/>
  <c r="H927" i="27"/>
  <c r="H926" i="27"/>
  <c r="H925" i="27"/>
  <c r="H923" i="27"/>
  <c r="H924" i="27"/>
  <c r="H922" i="27"/>
  <c r="H921" i="27"/>
  <c r="H919" i="27"/>
  <c r="H920" i="27"/>
  <c r="H918" i="27"/>
  <c r="H917" i="27"/>
  <c r="H916" i="27"/>
  <c r="H915" i="27"/>
  <c r="H914" i="27"/>
  <c r="H913" i="27"/>
  <c r="H912" i="27"/>
  <c r="H911" i="27"/>
  <c r="H910" i="27"/>
  <c r="H909" i="27"/>
  <c r="H908" i="27"/>
  <c r="H906" i="27"/>
  <c r="H907" i="27"/>
  <c r="H905" i="27"/>
  <c r="H904" i="27"/>
  <c r="H902" i="27"/>
  <c r="H903" i="27"/>
  <c r="H901" i="27"/>
  <c r="H900" i="27"/>
  <c r="H899" i="27"/>
  <c r="H898" i="27"/>
  <c r="H897" i="27"/>
  <c r="H896" i="27"/>
  <c r="H895" i="27"/>
  <c r="H894" i="27"/>
  <c r="H893" i="27"/>
  <c r="H892" i="27"/>
  <c r="H891" i="27"/>
  <c r="H890" i="27"/>
  <c r="H889" i="27"/>
  <c r="H886" i="27"/>
  <c r="H887" i="27"/>
  <c r="H888" i="27"/>
  <c r="H885" i="27"/>
  <c r="H884" i="27"/>
  <c r="H883" i="27"/>
  <c r="H882" i="27"/>
  <c r="H881" i="27"/>
  <c r="H880" i="27"/>
  <c r="H879" i="27"/>
  <c r="H878" i="27"/>
  <c r="H877" i="27"/>
  <c r="H876" i="27"/>
  <c r="H875" i="27"/>
  <c r="H874" i="27"/>
  <c r="H873" i="27"/>
  <c r="H872" i="27"/>
  <c r="H871" i="27"/>
  <c r="H870" i="27"/>
  <c r="H869" i="27"/>
  <c r="H868" i="27"/>
  <c r="H866" i="27"/>
  <c r="H867" i="27"/>
  <c r="H865" i="27"/>
  <c r="H864" i="27"/>
  <c r="H863" i="27"/>
  <c r="H862" i="27"/>
  <c r="H861" i="27"/>
  <c r="H860" i="27"/>
  <c r="H859" i="27"/>
  <c r="H857" i="27"/>
  <c r="H858" i="27"/>
  <c r="H856" i="27"/>
  <c r="H855" i="27"/>
  <c r="H854" i="27"/>
  <c r="H853" i="27"/>
  <c r="H852" i="27"/>
  <c r="H851" i="27"/>
  <c r="H850" i="27"/>
  <c r="H849" i="27"/>
  <c r="H848" i="27"/>
  <c r="H846" i="27"/>
  <c r="H847" i="27"/>
  <c r="H845" i="27"/>
  <c r="H844" i="27"/>
  <c r="H843" i="27"/>
  <c r="H842" i="27"/>
  <c r="H841" i="27"/>
  <c r="H839" i="27"/>
  <c r="H840" i="27"/>
  <c r="H838" i="27"/>
  <c r="H837" i="27"/>
  <c r="H836" i="27"/>
  <c r="H835" i="27"/>
  <c r="H834" i="27"/>
  <c r="H832" i="27"/>
  <c r="H833" i="27"/>
  <c r="H831" i="27"/>
  <c r="H830" i="27"/>
  <c r="H829" i="27"/>
  <c r="H827" i="27"/>
  <c r="H828" i="27"/>
  <c r="H826" i="27"/>
  <c r="H825" i="27"/>
  <c r="H824" i="27"/>
  <c r="H823" i="27"/>
  <c r="H822" i="27"/>
  <c r="H821" i="27"/>
  <c r="H820" i="27"/>
  <c r="H818" i="27"/>
  <c r="H819" i="27"/>
  <c r="H817" i="27"/>
  <c r="H816" i="27"/>
  <c r="H815" i="27"/>
  <c r="H814" i="27"/>
  <c r="H813" i="27"/>
  <c r="H811" i="27"/>
  <c r="H812" i="27"/>
  <c r="H810" i="27"/>
  <c r="H809" i="27"/>
  <c r="H808" i="27"/>
  <c r="H807" i="27"/>
  <c r="H806" i="27"/>
  <c r="H805" i="27"/>
  <c r="H804" i="27"/>
  <c r="H803" i="27"/>
  <c r="H801" i="27"/>
  <c r="H802" i="27"/>
  <c r="H800" i="27"/>
  <c r="H799" i="27"/>
  <c r="H798" i="27"/>
  <c r="H797" i="27"/>
  <c r="H796" i="27"/>
  <c r="H795" i="27"/>
  <c r="H793" i="27"/>
  <c r="H794" i="27"/>
  <c r="H792" i="27"/>
  <c r="H791" i="27"/>
  <c r="H780" i="27"/>
  <c r="H790" i="27"/>
  <c r="H789" i="27"/>
  <c r="H788" i="27"/>
  <c r="H787" i="27"/>
  <c r="H786" i="27"/>
  <c r="H785" i="27"/>
  <c r="H784" i="27"/>
  <c r="H783" i="27"/>
  <c r="H782" i="27"/>
  <c r="H781" i="27"/>
  <c r="H779" i="27"/>
  <c r="H778" i="27"/>
  <c r="H777" i="27"/>
  <c r="H775" i="27"/>
  <c r="H776" i="27"/>
  <c r="H774" i="27"/>
  <c r="H773" i="27"/>
  <c r="H771" i="27"/>
  <c r="H772" i="27"/>
  <c r="H770" i="27"/>
  <c r="H769" i="27"/>
  <c r="H768" i="27"/>
  <c r="H767" i="27"/>
  <c r="H766" i="27"/>
  <c r="H765" i="27"/>
  <c r="H764" i="27"/>
  <c r="H762" i="27"/>
  <c r="H763" i="27"/>
  <c r="H761" i="27"/>
  <c r="H760" i="27"/>
  <c r="H759" i="27"/>
  <c r="H758" i="27"/>
  <c r="H756" i="27"/>
  <c r="H757" i="27"/>
  <c r="H755" i="27"/>
  <c r="H754" i="27"/>
  <c r="H753" i="27"/>
  <c r="H751" i="27"/>
  <c r="H752" i="27"/>
  <c r="H750" i="27"/>
  <c r="H749" i="27"/>
  <c r="H748" i="27"/>
  <c r="H747" i="27"/>
  <c r="H745" i="27"/>
  <c r="H746" i="27"/>
  <c r="H744" i="27"/>
  <c r="H743" i="27"/>
  <c r="H742" i="27"/>
  <c r="H741" i="27"/>
  <c r="H739" i="27"/>
  <c r="H740" i="27"/>
  <c r="H738" i="27"/>
  <c r="H737" i="27"/>
  <c r="H736" i="27"/>
  <c r="H735" i="27"/>
  <c r="H733" i="27"/>
  <c r="H734" i="27"/>
  <c r="H732" i="27"/>
  <c r="H731" i="27"/>
  <c r="H730" i="27"/>
  <c r="H729" i="27"/>
  <c r="H727" i="27"/>
  <c r="H728" i="27"/>
  <c r="H726" i="27"/>
  <c r="H725" i="27"/>
  <c r="H724" i="27"/>
  <c r="H723" i="27"/>
  <c r="H721" i="27"/>
  <c r="H722" i="27"/>
  <c r="H720" i="27"/>
  <c r="H719" i="27"/>
  <c r="H718" i="27"/>
  <c r="H717" i="27"/>
  <c r="H716" i="27"/>
  <c r="H714" i="27"/>
  <c r="H715" i="27"/>
  <c r="H713" i="27"/>
  <c r="H712" i="27"/>
  <c r="H711" i="27"/>
  <c r="H710" i="27"/>
  <c r="H708" i="27"/>
  <c r="H709" i="27"/>
  <c r="H707" i="27"/>
  <c r="H706" i="27"/>
  <c r="H705" i="27"/>
  <c r="H704" i="27"/>
  <c r="H702" i="27"/>
  <c r="H703" i="27"/>
  <c r="H701" i="27"/>
  <c r="H700" i="27"/>
  <c r="H699" i="27"/>
  <c r="H698" i="27"/>
  <c r="H696" i="27"/>
  <c r="H697" i="27"/>
  <c r="H695" i="27"/>
  <c r="H694" i="27"/>
  <c r="H693" i="27"/>
  <c r="H692" i="27"/>
  <c r="H690" i="27"/>
  <c r="H691" i="27"/>
  <c r="H689" i="27"/>
  <c r="H688" i="27"/>
  <c r="H687" i="27"/>
  <c r="H685" i="27"/>
  <c r="H686" i="27"/>
  <c r="H684" i="27"/>
  <c r="H683" i="27"/>
  <c r="H682" i="27"/>
  <c r="H680" i="27"/>
  <c r="H681" i="27"/>
  <c r="H679" i="27"/>
  <c r="H678" i="27"/>
  <c r="H677" i="27"/>
  <c r="H676" i="27"/>
  <c r="H674" i="27"/>
  <c r="H675" i="27"/>
  <c r="H673" i="27"/>
  <c r="H672" i="27"/>
  <c r="H671" i="27"/>
  <c r="H670" i="27"/>
  <c r="H668" i="27"/>
  <c r="H669" i="27"/>
  <c r="H667" i="27"/>
  <c r="H666" i="27"/>
  <c r="H665" i="27"/>
  <c r="H663" i="27"/>
  <c r="H664" i="27"/>
  <c r="H662" i="27"/>
  <c r="H661" i="27"/>
  <c r="H660" i="27"/>
  <c r="H659" i="27"/>
  <c r="H657" i="27"/>
  <c r="H658" i="27"/>
  <c r="H656" i="27"/>
  <c r="H655" i="27"/>
  <c r="H654" i="27"/>
  <c r="H653" i="27"/>
  <c r="H651" i="27"/>
  <c r="H652" i="27"/>
  <c r="H650" i="27"/>
  <c r="H649" i="27"/>
  <c r="H648" i="27"/>
  <c r="H647" i="27"/>
  <c r="H645" i="27"/>
  <c r="H646" i="27"/>
  <c r="H644" i="27"/>
  <c r="H643" i="27"/>
  <c r="H642" i="27"/>
  <c r="H641" i="27"/>
  <c r="H639" i="27"/>
  <c r="H640" i="27"/>
  <c r="H638" i="27"/>
  <c r="H637" i="27"/>
  <c r="H636" i="27"/>
  <c r="H635" i="27"/>
  <c r="H634" i="27"/>
  <c r="H632" i="27"/>
  <c r="H633" i="27"/>
  <c r="H631" i="27"/>
  <c r="H630" i="27"/>
  <c r="H629" i="27"/>
  <c r="H627" i="27"/>
  <c r="H628" i="27"/>
  <c r="H626" i="27"/>
  <c r="H625" i="27"/>
  <c r="H624" i="27"/>
  <c r="H623" i="27"/>
  <c r="H621" i="27"/>
  <c r="H622" i="27"/>
  <c r="H620" i="27"/>
  <c r="H619" i="27"/>
  <c r="H618" i="27"/>
  <c r="H617" i="27"/>
  <c r="H615" i="27"/>
  <c r="H616" i="27"/>
  <c r="H614" i="27"/>
  <c r="H613" i="27"/>
  <c r="H612" i="27"/>
  <c r="H610" i="27"/>
  <c r="H611" i="27"/>
  <c r="H609" i="27"/>
  <c r="H608" i="27"/>
  <c r="H607" i="27"/>
  <c r="H606" i="27"/>
  <c r="H604" i="27"/>
  <c r="H605" i="27"/>
  <c r="H603" i="27"/>
  <c r="H602" i="27"/>
  <c r="H601" i="27"/>
  <c r="H600" i="27"/>
  <c r="H598" i="27"/>
  <c r="H599" i="27"/>
  <c r="H597" i="27"/>
  <c r="H596" i="27"/>
  <c r="H595" i="27"/>
  <c r="H593" i="27"/>
  <c r="H594" i="27"/>
  <c r="H592" i="27"/>
  <c r="H591" i="27"/>
  <c r="H590" i="27"/>
  <c r="H589" i="27"/>
  <c r="H588" i="27"/>
  <c r="H587" i="27"/>
  <c r="H585" i="27"/>
  <c r="H586" i="27"/>
  <c r="H584" i="27"/>
  <c r="H583" i="27"/>
  <c r="H582" i="27"/>
  <c r="H581" i="27"/>
  <c r="H580" i="27"/>
  <c r="H579" i="27"/>
  <c r="H577" i="27"/>
  <c r="H578" i="27"/>
  <c r="H576" i="27"/>
  <c r="H575" i="27"/>
  <c r="H574" i="27"/>
  <c r="H573" i="27"/>
  <c r="H572" i="27"/>
  <c r="H570" i="27"/>
  <c r="H571" i="27"/>
  <c r="H569" i="27"/>
  <c r="H568" i="27"/>
  <c r="H567" i="27"/>
  <c r="H566" i="27"/>
  <c r="H565" i="27"/>
  <c r="H564" i="27"/>
  <c r="H563" i="27"/>
  <c r="H562" i="27"/>
  <c r="H561" i="27"/>
  <c r="H560" i="27"/>
  <c r="H559" i="27"/>
  <c r="H558" i="27"/>
  <c r="H556" i="27"/>
  <c r="H557" i="27"/>
  <c r="H555" i="27"/>
  <c r="H554" i="27"/>
  <c r="H553" i="27"/>
  <c r="H552" i="27"/>
  <c r="H551" i="27"/>
  <c r="H550" i="27"/>
  <c r="H549" i="27"/>
  <c r="H548" i="27"/>
  <c r="H546" i="27"/>
  <c r="H547" i="27"/>
  <c r="H545" i="27"/>
  <c r="H544" i="27"/>
  <c r="H543" i="27"/>
  <c r="H542" i="27"/>
  <c r="H541" i="27"/>
  <c r="H539" i="27"/>
  <c r="H540" i="27"/>
  <c r="H538" i="27"/>
  <c r="H537" i="27"/>
  <c r="H536" i="27"/>
  <c r="H535" i="27"/>
  <c r="H534" i="27"/>
  <c r="H533" i="27"/>
  <c r="H531" i="27"/>
  <c r="H532" i="27"/>
  <c r="H530" i="27"/>
  <c r="H529" i="27"/>
  <c r="H528" i="27"/>
  <c r="H527" i="27"/>
  <c r="H526" i="27"/>
  <c r="H525" i="27"/>
  <c r="H523" i="27"/>
  <c r="H524" i="27"/>
  <c r="H522" i="27"/>
  <c r="H521" i="27"/>
  <c r="H520" i="27"/>
  <c r="H519" i="27"/>
  <c r="H518" i="27"/>
  <c r="H517" i="27"/>
  <c r="H516" i="27"/>
  <c r="H514" i="27"/>
  <c r="H515" i="27"/>
  <c r="H513" i="27"/>
  <c r="H512" i="27"/>
  <c r="H511" i="27"/>
  <c r="H510" i="27"/>
  <c r="H509" i="27"/>
  <c r="H508" i="27"/>
  <c r="H507" i="27"/>
  <c r="H506" i="27"/>
  <c r="H505" i="27"/>
  <c r="H504" i="27"/>
  <c r="H503" i="27"/>
  <c r="H502" i="27"/>
  <c r="H501" i="27"/>
  <c r="H500" i="27"/>
  <c r="H499" i="27"/>
  <c r="H497" i="27"/>
  <c r="H498" i="27"/>
  <c r="H496" i="27"/>
  <c r="H495" i="27"/>
  <c r="H494" i="27"/>
  <c r="H493" i="27"/>
  <c r="H492" i="27"/>
  <c r="H491" i="27"/>
  <c r="H489" i="27"/>
  <c r="H490" i="27"/>
  <c r="H488" i="27"/>
  <c r="H487" i="27"/>
  <c r="H486" i="27"/>
  <c r="H485" i="27"/>
  <c r="H484" i="27"/>
  <c r="H483" i="27"/>
  <c r="H481" i="27"/>
  <c r="H482" i="27"/>
  <c r="H480" i="27"/>
  <c r="H479" i="27"/>
  <c r="H478" i="27"/>
  <c r="H477" i="27"/>
  <c r="H476" i="27"/>
  <c r="H475" i="27"/>
  <c r="H473" i="27"/>
  <c r="H474" i="27"/>
  <c r="H472" i="27"/>
  <c r="H471" i="27"/>
  <c r="H470" i="27"/>
  <c r="H469" i="27"/>
  <c r="H468" i="27"/>
  <c r="H467" i="27"/>
  <c r="H466" i="27"/>
  <c r="H464" i="27"/>
  <c r="H465" i="27"/>
  <c r="H463" i="27"/>
  <c r="H462" i="27"/>
  <c r="H461" i="27"/>
  <c r="H460" i="27"/>
  <c r="H459" i="27"/>
  <c r="H458" i="27"/>
  <c r="H457" i="27"/>
  <c r="H456" i="27"/>
  <c r="H455" i="27"/>
  <c r="H454" i="27"/>
  <c r="H453" i="27"/>
  <c r="H452" i="27"/>
  <c r="H451" i="27"/>
  <c r="H450" i="27"/>
  <c r="H448" i="27"/>
  <c r="H449" i="27"/>
  <c r="H447" i="27"/>
  <c r="H446" i="27"/>
  <c r="H445" i="27"/>
  <c r="H444" i="27"/>
  <c r="H442" i="27"/>
  <c r="H443" i="27"/>
  <c r="H441" i="27"/>
  <c r="H440" i="27"/>
  <c r="H439" i="27"/>
  <c r="H438" i="27"/>
  <c r="H437" i="27"/>
  <c r="H436" i="27"/>
  <c r="K435" i="27"/>
  <c r="H435" i="27"/>
  <c r="H434" i="27"/>
  <c r="K433" i="27"/>
  <c r="H433" i="27"/>
  <c r="K432" i="27"/>
  <c r="H431" i="27"/>
  <c r="H432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2" i="27"/>
  <c r="H417" i="27"/>
  <c r="H416" i="27"/>
  <c r="H415" i="27"/>
  <c r="H414" i="27"/>
  <c r="H413" i="27"/>
  <c r="H411" i="27"/>
  <c r="H409" i="27"/>
  <c r="H410" i="27"/>
  <c r="H408" i="27"/>
  <c r="H407" i="27"/>
  <c r="H406" i="27"/>
  <c r="H405" i="27"/>
  <c r="H404" i="27"/>
  <c r="H403" i="27"/>
  <c r="H402" i="27"/>
  <c r="H400" i="27"/>
  <c r="H401" i="27"/>
  <c r="H399" i="27"/>
  <c r="H398" i="27"/>
  <c r="H392" i="27"/>
  <c r="H397" i="27"/>
  <c r="H395" i="27"/>
  <c r="H396" i="27"/>
  <c r="H394" i="27"/>
  <c r="H393" i="27"/>
  <c r="H391" i="27"/>
  <c r="H389" i="27"/>
  <c r="H390" i="27"/>
  <c r="H388" i="27"/>
  <c r="H387" i="27"/>
  <c r="H386" i="27"/>
  <c r="H385" i="27"/>
  <c r="H384" i="27"/>
  <c r="H383" i="27"/>
  <c r="H381" i="27"/>
  <c r="H382" i="27"/>
  <c r="H380" i="27"/>
  <c r="H379" i="27"/>
  <c r="H378" i="27"/>
  <c r="H377" i="27"/>
  <c r="H376" i="27"/>
  <c r="H375" i="27"/>
  <c r="H374" i="27"/>
  <c r="H372" i="27"/>
  <c r="H373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7" i="27"/>
  <c r="H358" i="27"/>
  <c r="H356" i="27"/>
  <c r="H355" i="27"/>
  <c r="H354" i="27"/>
  <c r="H353" i="27"/>
  <c r="H352" i="27"/>
  <c r="H351" i="27"/>
  <c r="H349" i="27"/>
  <c r="H350" i="27"/>
  <c r="H348" i="27"/>
  <c r="H347" i="27"/>
  <c r="H346" i="27"/>
  <c r="H345" i="27"/>
  <c r="H344" i="27"/>
  <c r="H343" i="27"/>
  <c r="H342" i="27"/>
  <c r="H341" i="27"/>
  <c r="H339" i="27"/>
  <c r="H340" i="27"/>
  <c r="H338" i="27"/>
  <c r="H337" i="27"/>
  <c r="H336" i="27"/>
  <c r="H335" i="27"/>
  <c r="H334" i="27"/>
  <c r="H332" i="27"/>
  <c r="H333" i="27"/>
  <c r="H331" i="27"/>
  <c r="H330" i="27"/>
  <c r="H329" i="27"/>
  <c r="H328" i="27"/>
  <c r="H326" i="27"/>
  <c r="H327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2" i="27"/>
  <c r="H313" i="27"/>
  <c r="H311" i="27"/>
  <c r="H310" i="27"/>
  <c r="H309" i="27"/>
  <c r="H308" i="27"/>
  <c r="H305" i="27"/>
  <c r="H306" i="27"/>
  <c r="H307" i="27"/>
  <c r="H304" i="27"/>
  <c r="H303" i="27"/>
  <c r="H302" i="27"/>
  <c r="H301" i="27"/>
  <c r="H300" i="27"/>
  <c r="H299" i="27"/>
  <c r="H298" i="27"/>
  <c r="H297" i="27"/>
  <c r="H296" i="27"/>
  <c r="H295" i="27"/>
  <c r="H294" i="27"/>
  <c r="H292" i="27"/>
  <c r="H293" i="27"/>
  <c r="H291" i="27"/>
  <c r="H290" i="27"/>
  <c r="H289" i="27"/>
  <c r="H288" i="27"/>
  <c r="H286" i="27"/>
  <c r="H287" i="27"/>
  <c r="H285" i="27"/>
  <c r="H284" i="27"/>
  <c r="H282" i="27"/>
  <c r="H283" i="27"/>
  <c r="H281" i="27"/>
  <c r="H280" i="27"/>
  <c r="H279" i="27"/>
  <c r="H277" i="27"/>
  <c r="H278" i="27"/>
  <c r="H276" i="27"/>
  <c r="H275" i="27"/>
  <c r="H274" i="27"/>
  <c r="H272" i="27"/>
  <c r="H273" i="27"/>
  <c r="H271" i="27"/>
  <c r="H270" i="27"/>
  <c r="H269" i="27"/>
  <c r="H268" i="27"/>
  <c r="H267" i="27"/>
  <c r="H265" i="27"/>
  <c r="H266" i="27"/>
  <c r="H264" i="27"/>
  <c r="H263" i="27"/>
  <c r="H262" i="27"/>
  <c r="H261" i="27"/>
  <c r="H260" i="27"/>
  <c r="H258" i="27"/>
  <c r="H259" i="27"/>
  <c r="H257" i="27"/>
  <c r="H256" i="27"/>
  <c r="H255" i="27"/>
  <c r="H254" i="27"/>
  <c r="H253" i="27"/>
  <c r="H252" i="27"/>
  <c r="H251" i="27"/>
  <c r="H250" i="27"/>
  <c r="H248" i="27"/>
  <c r="H249" i="27"/>
  <c r="H247" i="27"/>
  <c r="H246" i="27"/>
  <c r="H245" i="27"/>
  <c r="H244" i="27"/>
  <c r="H243" i="27"/>
  <c r="H242" i="27"/>
  <c r="H241" i="27"/>
  <c r="H240" i="27"/>
  <c r="H238" i="27"/>
  <c r="H239" i="27"/>
  <c r="H237" i="27"/>
  <c r="H236" i="27"/>
  <c r="H235" i="27"/>
  <c r="H234" i="27"/>
  <c r="H233" i="27"/>
  <c r="H232" i="27"/>
  <c r="H231" i="27"/>
  <c r="H230" i="27"/>
  <c r="H228" i="27"/>
  <c r="H229" i="27"/>
  <c r="H227" i="27"/>
  <c r="H226" i="27"/>
  <c r="H225" i="27"/>
  <c r="H224" i="27"/>
  <c r="H223" i="27"/>
  <c r="H221" i="27"/>
  <c r="H222" i="27"/>
  <c r="H220" i="27"/>
  <c r="H219" i="27"/>
  <c r="H218" i="27"/>
  <c r="H217" i="27"/>
  <c r="H216" i="27"/>
  <c r="H215" i="27"/>
  <c r="H213" i="27"/>
  <c r="H214" i="27"/>
  <c r="H212" i="27"/>
  <c r="H211" i="27"/>
  <c r="H210" i="27"/>
  <c r="H209" i="27"/>
  <c r="H208" i="27"/>
  <c r="H207" i="27"/>
  <c r="H205" i="27"/>
  <c r="H206" i="27"/>
  <c r="H204" i="27"/>
  <c r="H203" i="27"/>
  <c r="H202" i="27"/>
  <c r="H201" i="27"/>
  <c r="H200" i="27"/>
  <c r="H198" i="27"/>
  <c r="H199" i="27"/>
  <c r="H197" i="27"/>
  <c r="H196" i="27"/>
  <c r="H195" i="27"/>
  <c r="H194" i="27"/>
  <c r="H192" i="27"/>
  <c r="H193" i="27"/>
  <c r="H191" i="27"/>
  <c r="H190" i="27"/>
  <c r="H189" i="27"/>
  <c r="H188" i="27"/>
  <c r="H187" i="27"/>
  <c r="H185" i="27"/>
  <c r="H186" i="27"/>
  <c r="H184" i="27"/>
  <c r="H183" i="27"/>
  <c r="H182" i="27"/>
  <c r="H181" i="27"/>
  <c r="H179" i="27"/>
  <c r="H180" i="27"/>
  <c r="H178" i="27"/>
  <c r="H177" i="27"/>
  <c r="H176" i="27"/>
  <c r="H175" i="27"/>
  <c r="H173" i="27"/>
  <c r="H174" i="27"/>
  <c r="H172" i="27"/>
  <c r="H171" i="27"/>
  <c r="H170" i="27"/>
  <c r="H169" i="27"/>
  <c r="H168" i="27"/>
  <c r="H167" i="27"/>
  <c r="H166" i="27"/>
  <c r="H165" i="27"/>
  <c r="H163" i="27"/>
  <c r="H164" i="27"/>
  <c r="H162" i="27"/>
  <c r="H161" i="27"/>
  <c r="H160" i="27"/>
  <c r="H159" i="27"/>
  <c r="H158" i="27"/>
  <c r="H157" i="27"/>
  <c r="H156" i="27"/>
  <c r="H154" i="27"/>
  <c r="H155" i="27"/>
  <c r="H153" i="27"/>
  <c r="H152" i="27"/>
  <c r="H150" i="27"/>
  <c r="H151" i="27"/>
  <c r="H149" i="27"/>
  <c r="H148" i="27"/>
  <c r="H147" i="27"/>
  <c r="H145" i="27"/>
  <c r="H146" i="27"/>
  <c r="H144" i="27"/>
  <c r="H143" i="27"/>
  <c r="H142" i="27"/>
  <c r="H140" i="27" l="1"/>
  <c r="H141" i="27"/>
  <c r="H139" i="27"/>
  <c r="H138" i="27"/>
  <c r="H137" i="27"/>
  <c r="H136" i="27"/>
  <c r="H135" i="27"/>
  <c r="H134" i="27"/>
  <c r="H133" i="27"/>
  <c r="H131" i="27"/>
  <c r="H132" i="27"/>
  <c r="H130" i="27"/>
  <c r="H129" i="27"/>
  <c r="H127" i="27"/>
  <c r="H128" i="27"/>
  <c r="H126" i="27"/>
  <c r="H125" i="27"/>
  <c r="H124" i="27"/>
  <c r="H123" i="27"/>
  <c r="H121" i="27"/>
  <c r="H122" i="27"/>
  <c r="H120" i="27"/>
  <c r="H119" i="27"/>
  <c r="H118" i="27"/>
  <c r="H117" i="27"/>
  <c r="H115" i="27"/>
  <c r="H116" i="27"/>
  <c r="H114" i="27"/>
  <c r="H113" i="27"/>
  <c r="H112" i="27"/>
  <c r="H111" i="27"/>
  <c r="H110" i="27"/>
  <c r="H108" i="27"/>
  <c r="H109" i="27"/>
  <c r="H107" i="27"/>
  <c r="H106" i="27"/>
  <c r="H104" i="27"/>
  <c r="H105" i="27"/>
  <c r="H103" i="27"/>
  <c r="H102" i="27"/>
  <c r="H101" i="27"/>
  <c r="H99" i="27"/>
  <c r="H100" i="27"/>
  <c r="H98" i="27"/>
  <c r="H97" i="27"/>
  <c r="H96" i="27"/>
  <c r="H95" i="27"/>
  <c r="H94" i="27"/>
  <c r="H93" i="27"/>
  <c r="H92" i="27"/>
  <c r="H91" i="27"/>
  <c r="H90" i="27"/>
  <c r="H85" i="27"/>
  <c r="H86" i="27"/>
  <c r="H87" i="27"/>
  <c r="H88" i="27"/>
  <c r="H84" i="27"/>
  <c r="H83" i="27"/>
  <c r="H82" i="27"/>
  <c r="H81" i="27"/>
  <c r="H80" i="27"/>
  <c r="H79" i="27"/>
  <c r="H78" i="27"/>
  <c r="H77" i="27"/>
  <c r="H76" i="27"/>
  <c r="H75" i="27"/>
  <c r="H73" i="27"/>
  <c r="H72" i="27"/>
  <c r="H71" i="27"/>
  <c r="H69" i="27"/>
  <c r="H68" i="27"/>
  <c r="H66" i="27"/>
  <c r="H67" i="27"/>
  <c r="H65" i="27"/>
  <c r="H64" i="27"/>
  <c r="H63" i="27"/>
  <c r="H62" i="27"/>
  <c r="H61" i="27"/>
  <c r="H60" i="27"/>
  <c r="H59" i="27"/>
  <c r="H58" i="27"/>
  <c r="H57" i="27"/>
  <c r="H56" i="27"/>
  <c r="H54" i="27" l="1"/>
  <c r="H55" i="27"/>
  <c r="H53" i="27"/>
  <c r="H52" i="27"/>
  <c r="H50" i="27"/>
  <c r="H51" i="27"/>
  <c r="H48" i="27"/>
  <c r="H49" i="27"/>
  <c r="H47" i="27"/>
  <c r="H46" i="27"/>
  <c r="H45" i="27"/>
  <c r="H44" i="27"/>
  <c r="H43" i="27"/>
  <c r="K39" i="27"/>
  <c r="I23" i="28" s="1"/>
  <c r="K36" i="27"/>
  <c r="K34" i="27"/>
  <c r="K32" i="27"/>
  <c r="K30" i="27"/>
  <c r="M31" i="27" s="1"/>
  <c r="K29" i="27"/>
  <c r="K27" i="27"/>
  <c r="K24" i="27"/>
  <c r="K22" i="27"/>
  <c r="I21" i="28" l="1"/>
  <c r="I22" i="28"/>
  <c r="K25" i="28" s="1"/>
  <c r="K41" i="27"/>
  <c r="I25" i="28" l="1"/>
  <c r="F794" i="1"/>
  <c r="W794" i="1" l="1"/>
  <c r="W2" i="1" s="1"/>
  <c r="K169" i="27"/>
  <c r="F1132" i="5"/>
  <c r="F1133" i="5" s="1"/>
  <c r="F792" i="1"/>
  <c r="T792" i="1" l="1"/>
  <c r="K168" i="27"/>
  <c r="O2" i="2"/>
  <c r="P2" i="2"/>
  <c r="Q2" i="2"/>
  <c r="R2" i="2"/>
  <c r="T2" i="2"/>
  <c r="V2" i="2"/>
  <c r="W2" i="2"/>
  <c r="X2" i="2"/>
  <c r="Y2" i="2"/>
  <c r="Z2" i="2"/>
  <c r="AA2" i="2"/>
  <c r="AB2" i="2"/>
  <c r="N716" i="2"/>
  <c r="F714" i="2"/>
  <c r="K783" i="1"/>
  <c r="K784" i="1"/>
  <c r="K785" i="1"/>
  <c r="K795" i="1"/>
  <c r="F788" i="1"/>
  <c r="P788" i="1" s="1"/>
  <c r="F787" i="1"/>
  <c r="F1070" i="1"/>
  <c r="C1058" i="1"/>
  <c r="F1058" i="1" s="1"/>
  <c r="K206" i="27" s="1"/>
  <c r="F1068" i="1"/>
  <c r="F1064" i="1"/>
  <c r="K208" i="27" s="1"/>
  <c r="F1061" i="1"/>
  <c r="K207" i="27" s="1"/>
  <c r="C593" i="1"/>
  <c r="C487" i="1"/>
  <c r="F695" i="2"/>
  <c r="F694" i="2"/>
  <c r="F691" i="2"/>
  <c r="F690" i="2"/>
  <c r="F689" i="2"/>
  <c r="F686" i="2"/>
  <c r="F665" i="2"/>
  <c r="F664" i="2"/>
  <c r="F661" i="2"/>
  <c r="F660" i="2"/>
  <c r="F659" i="2"/>
  <c r="F656" i="2"/>
  <c r="F634" i="2"/>
  <c r="F635" i="2" s="1"/>
  <c r="K1193" i="27" s="1"/>
  <c r="F631" i="2"/>
  <c r="F632" i="2" s="1"/>
  <c r="K1192" i="27" s="1"/>
  <c r="F609" i="2"/>
  <c r="F608" i="2"/>
  <c r="F607" i="2"/>
  <c r="F604" i="2"/>
  <c r="F603" i="2"/>
  <c r="F602" i="2"/>
  <c r="F599" i="2"/>
  <c r="F574" i="2"/>
  <c r="F573" i="2"/>
  <c r="F572" i="2"/>
  <c r="F571" i="2"/>
  <c r="F568" i="2"/>
  <c r="F567" i="2"/>
  <c r="F566" i="2"/>
  <c r="F563" i="2"/>
  <c r="F564" i="2" s="1"/>
  <c r="K1180" i="27" s="1"/>
  <c r="I325" i="28" s="1"/>
  <c r="F2694" i="3"/>
  <c r="F2693" i="3"/>
  <c r="F2692" i="3"/>
  <c r="F2689" i="3"/>
  <c r="F2688" i="3"/>
  <c r="F2685" i="3"/>
  <c r="F2686" i="3" s="1"/>
  <c r="K746" i="27" s="1"/>
  <c r="D2676" i="3"/>
  <c r="F2660" i="3"/>
  <c r="F2659" i="3"/>
  <c r="F2658" i="3"/>
  <c r="F2657" i="3"/>
  <c r="F2656" i="3"/>
  <c r="F2655" i="3"/>
  <c r="F2654" i="3"/>
  <c r="C2651" i="3"/>
  <c r="F2651" i="3" s="1"/>
  <c r="F2650" i="3"/>
  <c r="F2647" i="3"/>
  <c r="F2648" i="3" s="1"/>
  <c r="K740" i="27" s="1"/>
  <c r="K1189" i="27" l="1"/>
  <c r="I328" i="28" s="1"/>
  <c r="I329" i="28" s="1"/>
  <c r="K210" i="27"/>
  <c r="K203" i="27" s="1"/>
  <c r="I73" i="28" s="1"/>
  <c r="I74" i="28" s="1"/>
  <c r="F610" i="2"/>
  <c r="K1188" i="27" s="1"/>
  <c r="F662" i="2"/>
  <c r="K1198" i="27" s="1"/>
  <c r="K315" i="27"/>
  <c r="P787" i="1"/>
  <c r="F2696" i="3"/>
  <c r="F2690" i="3"/>
  <c r="K747" i="27" s="1"/>
  <c r="F692" i="2"/>
  <c r="K1204" i="27" s="1"/>
  <c r="F697" i="2"/>
  <c r="K1205" i="27" s="1"/>
  <c r="F1074" i="1"/>
  <c r="F666" i="2"/>
  <c r="K1199" i="27" s="1"/>
  <c r="F605" i="2"/>
  <c r="L637" i="2"/>
  <c r="F569" i="2"/>
  <c r="K1181" i="27" s="1"/>
  <c r="F575" i="2"/>
  <c r="K1182" i="27" s="1"/>
  <c r="F2652" i="3"/>
  <c r="K741" i="27" s="1"/>
  <c r="F2661" i="3"/>
  <c r="K1194" i="27" l="1"/>
  <c r="I330" i="28" s="1"/>
  <c r="I331" i="28" s="1"/>
  <c r="L612" i="2"/>
  <c r="K1187" i="27"/>
  <c r="K1183" i="27" s="1"/>
  <c r="I326" i="28" s="1"/>
  <c r="I327" i="28" s="1"/>
  <c r="K1200" i="27"/>
  <c r="I332" i="28" s="1"/>
  <c r="I333" i="28" s="1"/>
  <c r="K1074" i="1"/>
  <c r="K73" i="28"/>
  <c r="M203" i="27"/>
  <c r="F2662" i="3"/>
  <c r="K742" i="27"/>
  <c r="K737" i="27" s="1"/>
  <c r="I211" i="28" s="1"/>
  <c r="I212" i="28" s="1"/>
  <c r="F2697" i="3"/>
  <c r="K748" i="27"/>
  <c r="K743" i="27" s="1"/>
  <c r="I213" i="28" s="1"/>
  <c r="I214" i="28" s="1"/>
  <c r="K1179" i="27"/>
  <c r="I324" i="28" s="1"/>
  <c r="L699" i="2"/>
  <c r="F700" i="2" s="1"/>
  <c r="U2697" i="3" l="1"/>
  <c r="K213" i="28"/>
  <c r="M743" i="27"/>
  <c r="U2662" i="3"/>
  <c r="K211" i="28"/>
  <c r="M737" i="27"/>
  <c r="L577" i="2"/>
  <c r="M1179" i="27"/>
  <c r="H32" i="25"/>
  <c r="J32" i="25" s="1"/>
  <c r="H31" i="25"/>
  <c r="J31" i="25" s="1"/>
  <c r="H30" i="25"/>
  <c r="I30" i="25" s="1"/>
  <c r="H29" i="25"/>
  <c r="J29" i="25" s="1"/>
  <c r="E52" i="25"/>
  <c r="F797" i="1"/>
  <c r="P797" i="1" s="1"/>
  <c r="F796" i="1"/>
  <c r="X3" i="25"/>
  <c r="F41" i="25"/>
  <c r="T11" i="25"/>
  <c r="V11" i="25"/>
  <c r="H11" i="25"/>
  <c r="I11" i="25"/>
  <c r="J11" i="25"/>
  <c r="K11" i="25"/>
  <c r="M11" i="25"/>
  <c r="O11" i="25"/>
  <c r="P11" i="25"/>
  <c r="Q11" i="25"/>
  <c r="R11" i="25"/>
  <c r="S11" i="25"/>
  <c r="G20" i="25"/>
  <c r="G22" i="25" s="1"/>
  <c r="F16" i="26"/>
  <c r="F525" i="2"/>
  <c r="K1174" i="27" s="1"/>
  <c r="F528" i="2"/>
  <c r="K1175" i="27" s="1"/>
  <c r="F531" i="2"/>
  <c r="F532" i="2"/>
  <c r="F536" i="2"/>
  <c r="K1178" i="27" s="1"/>
  <c r="F480" i="2"/>
  <c r="F481" i="2"/>
  <c r="F482" i="2"/>
  <c r="F483" i="2"/>
  <c r="F484" i="2"/>
  <c r="F485" i="2"/>
  <c r="F487" i="2"/>
  <c r="K1163" i="27" s="1"/>
  <c r="F489" i="2"/>
  <c r="K1164" i="27" s="1"/>
  <c r="F491" i="2"/>
  <c r="K1165" i="27" s="1"/>
  <c r="F493" i="2"/>
  <c r="F494" i="2"/>
  <c r="F495" i="2"/>
  <c r="F498" i="2"/>
  <c r="K1168" i="27" s="1"/>
  <c r="F500" i="2"/>
  <c r="K1170" i="27" s="1"/>
  <c r="F416" i="2"/>
  <c r="K1151" i="27" s="1"/>
  <c r="F418" i="2"/>
  <c r="K1152" i="27" s="1"/>
  <c r="F420" i="2"/>
  <c r="F421" i="2"/>
  <c r="F422" i="2"/>
  <c r="F425" i="2"/>
  <c r="F426" i="2"/>
  <c r="F427" i="2"/>
  <c r="F429" i="2"/>
  <c r="K1156" i="27" s="1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348" i="2"/>
  <c r="K1140" i="27" s="1"/>
  <c r="F350" i="2"/>
  <c r="K1141" i="27" s="1"/>
  <c r="F352" i="2"/>
  <c r="K1142" i="27" s="1"/>
  <c r="F355" i="2"/>
  <c r="F356" i="2"/>
  <c r="F357" i="2"/>
  <c r="F359" i="2"/>
  <c r="K1145" i="27" s="1"/>
  <c r="F363" i="2"/>
  <c r="F364" i="2"/>
  <c r="F365" i="2"/>
  <c r="F366" i="2"/>
  <c r="F367" i="2"/>
  <c r="F368" i="2"/>
  <c r="F369" i="2"/>
  <c r="F370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5" i="2"/>
  <c r="F386" i="2"/>
  <c r="F387" i="2"/>
  <c r="F388" i="2"/>
  <c r="F389" i="2"/>
  <c r="F390" i="2"/>
  <c r="F391" i="2"/>
  <c r="F392" i="2"/>
  <c r="F393" i="2"/>
  <c r="F319" i="2"/>
  <c r="K1133" i="27" s="1"/>
  <c r="F322" i="2"/>
  <c r="K1134" i="27" s="1"/>
  <c r="F325" i="2"/>
  <c r="K1136" i="27" s="1"/>
  <c r="F282" i="2"/>
  <c r="K1125" i="27" s="1"/>
  <c r="F285" i="2"/>
  <c r="K1126" i="27" s="1"/>
  <c r="F288" i="2"/>
  <c r="F289" i="2"/>
  <c r="F290" i="2"/>
  <c r="F294" i="2"/>
  <c r="K1129" i="27" s="1"/>
  <c r="F241" i="2"/>
  <c r="K1115" i="27" s="1"/>
  <c r="F244" i="2"/>
  <c r="K1116" i="27" s="1"/>
  <c r="F247" i="2"/>
  <c r="F248" i="2"/>
  <c r="F249" i="2"/>
  <c r="F253" i="2"/>
  <c r="K1119" i="27" s="1"/>
  <c r="F256" i="2"/>
  <c r="K1121" i="27" s="1"/>
  <c r="C201" i="2"/>
  <c r="F201" i="2" s="1"/>
  <c r="K1106" i="27" s="1"/>
  <c r="F204" i="2"/>
  <c r="K1107" i="27" s="1"/>
  <c r="F208" i="2"/>
  <c r="K1109" i="27" s="1"/>
  <c r="F212" i="2"/>
  <c r="K1111" i="27" s="1"/>
  <c r="F165" i="2"/>
  <c r="K1098" i="27" s="1"/>
  <c r="F168" i="2"/>
  <c r="K1099" i="27" s="1"/>
  <c r="F171" i="2"/>
  <c r="K1100" i="27" s="1"/>
  <c r="F175" i="2"/>
  <c r="K1102" i="27" s="1"/>
  <c r="F125" i="2"/>
  <c r="F128" i="2"/>
  <c r="F131" i="2"/>
  <c r="F132" i="2"/>
  <c r="F133" i="2"/>
  <c r="F137" i="2"/>
  <c r="F138" i="2"/>
  <c r="F139" i="2"/>
  <c r="F142" i="2"/>
  <c r="F73" i="2"/>
  <c r="K1087" i="27" s="1"/>
  <c r="F76" i="2"/>
  <c r="K1088" i="27" s="1"/>
  <c r="F79" i="2"/>
  <c r="F80" i="2"/>
  <c r="F81" i="2"/>
  <c r="F85" i="2"/>
  <c r="F86" i="2"/>
  <c r="F87" i="2"/>
  <c r="F92" i="2"/>
  <c r="F93" i="2"/>
  <c r="F94" i="2"/>
  <c r="F95" i="2"/>
  <c r="F96" i="2"/>
  <c r="F97" i="2"/>
  <c r="F98" i="2"/>
  <c r="F99" i="2"/>
  <c r="F15" i="2"/>
  <c r="K1076" i="27" s="1"/>
  <c r="F18" i="2"/>
  <c r="K1077" i="27" s="1"/>
  <c r="F21" i="2"/>
  <c r="F22" i="2"/>
  <c r="F23" i="2"/>
  <c r="F27" i="2"/>
  <c r="F28" i="2"/>
  <c r="F29" i="2"/>
  <c r="F32" i="2"/>
  <c r="K1081" i="27" s="1"/>
  <c r="F36" i="2"/>
  <c r="F37" i="2"/>
  <c r="F38" i="2"/>
  <c r="F39" i="2"/>
  <c r="F41" i="2"/>
  <c r="F42" i="2"/>
  <c r="F43" i="2"/>
  <c r="F44" i="2"/>
  <c r="F45" i="2"/>
  <c r="F46" i="2"/>
  <c r="F488" i="5"/>
  <c r="O2" i="5"/>
  <c r="J10" i="25" s="1"/>
  <c r="R2" i="5"/>
  <c r="M10" i="25" s="1"/>
  <c r="S2" i="5"/>
  <c r="N10" i="25" s="1"/>
  <c r="X2" i="5"/>
  <c r="S10" i="25" s="1"/>
  <c r="Y2" i="5"/>
  <c r="T10" i="25" s="1"/>
  <c r="J2" i="5"/>
  <c r="E10" i="25" s="1"/>
  <c r="F1515" i="5"/>
  <c r="F1516" i="5"/>
  <c r="F1518" i="5"/>
  <c r="F1489" i="5"/>
  <c r="F1460" i="5"/>
  <c r="F1408" i="5"/>
  <c r="F1380" i="5"/>
  <c r="F1381" i="5"/>
  <c r="F1329" i="5"/>
  <c r="F1302" i="5"/>
  <c r="F1265" i="5"/>
  <c r="F1266" i="5"/>
  <c r="F1268" i="5"/>
  <c r="F1270" i="5"/>
  <c r="F1271" i="5"/>
  <c r="F1235" i="5"/>
  <c r="F1191" i="5"/>
  <c r="F1192" i="5"/>
  <c r="F1194" i="5"/>
  <c r="F1196" i="5"/>
  <c r="F1197" i="5"/>
  <c r="F1135" i="5"/>
  <c r="F1137" i="5"/>
  <c r="F407" i="5"/>
  <c r="F408" i="5"/>
  <c r="F409" i="5"/>
  <c r="F82" i="5"/>
  <c r="K82" i="5" s="1"/>
  <c r="F89" i="5"/>
  <c r="T89" i="5" s="1"/>
  <c r="F85" i="5"/>
  <c r="K85" i="5" s="1"/>
  <c r="F84" i="5"/>
  <c r="F81" i="5"/>
  <c r="F49" i="5"/>
  <c r="F50" i="5"/>
  <c r="F53" i="5"/>
  <c r="F54" i="5"/>
  <c r="F55" i="5"/>
  <c r="F57" i="5"/>
  <c r="K843" i="27" s="1"/>
  <c r="F16" i="5"/>
  <c r="F17" i="5"/>
  <c r="F20" i="5"/>
  <c r="F21" i="5"/>
  <c r="F22" i="5"/>
  <c r="F24" i="5"/>
  <c r="K836" i="27" s="1"/>
  <c r="F304" i="3"/>
  <c r="F305" i="3"/>
  <c r="F306" i="3"/>
  <c r="F300" i="3"/>
  <c r="F299" i="3"/>
  <c r="F296" i="3"/>
  <c r="F297" i="3" s="1"/>
  <c r="K327" i="27" s="1"/>
  <c r="F687" i="3"/>
  <c r="F688" i="3"/>
  <c r="F689" i="3"/>
  <c r="F692" i="3"/>
  <c r="K411" i="27" s="1"/>
  <c r="F696" i="3"/>
  <c r="K412" i="27" s="1"/>
  <c r="F700" i="3"/>
  <c r="F701" i="3"/>
  <c r="F702" i="3"/>
  <c r="F705" i="3"/>
  <c r="K415" i="27" s="1"/>
  <c r="F710" i="3"/>
  <c r="F711" i="3"/>
  <c r="F712" i="3"/>
  <c r="H713" i="3" s="1"/>
  <c r="F1192" i="3"/>
  <c r="F1193" i="3"/>
  <c r="F1194" i="3"/>
  <c r="F1195" i="3"/>
  <c r="C1199" i="3"/>
  <c r="F1199" i="3" s="1"/>
  <c r="K516" i="27" s="1"/>
  <c r="F1204" i="3"/>
  <c r="K517" i="27" s="1"/>
  <c r="F1208" i="3"/>
  <c r="K520" i="27" s="1"/>
  <c r="F1341" i="3"/>
  <c r="K547" i="27" s="1"/>
  <c r="F1343" i="3"/>
  <c r="F1344" i="3"/>
  <c r="F1345" i="3"/>
  <c r="F1346" i="3"/>
  <c r="F1347" i="3"/>
  <c r="F1348" i="3"/>
  <c r="F1349" i="3"/>
  <c r="F1352" i="3"/>
  <c r="F1353" i="3"/>
  <c r="F1354" i="3"/>
  <c r="F1356" i="3"/>
  <c r="K551" i="27" s="1"/>
  <c r="F1358" i="3"/>
  <c r="K553" i="27" s="1"/>
  <c r="F2793" i="3"/>
  <c r="K2793" i="3" s="1"/>
  <c r="C2794" i="3"/>
  <c r="F2794" i="3" s="1"/>
  <c r="K2794" i="3" s="1"/>
  <c r="F2796" i="3"/>
  <c r="K2796" i="3" s="1"/>
  <c r="F2798" i="3"/>
  <c r="F2799" i="3"/>
  <c r="K2799" i="3" s="1"/>
  <c r="F2800" i="3"/>
  <c r="K2800" i="3" s="1"/>
  <c r="F2802" i="3"/>
  <c r="F2804" i="3"/>
  <c r="K2804" i="3" s="1"/>
  <c r="F2805" i="3"/>
  <c r="T2805" i="3" s="1"/>
  <c r="F2806" i="3"/>
  <c r="T2806" i="3" s="1"/>
  <c r="F2807" i="3"/>
  <c r="K2807" i="3" s="1"/>
  <c r="F2808" i="3"/>
  <c r="K2808" i="3" s="1"/>
  <c r="F2809" i="3"/>
  <c r="K2809" i="3" s="1"/>
  <c r="F2810" i="3"/>
  <c r="K2810" i="3" s="1"/>
  <c r="F2811" i="3"/>
  <c r="K2811" i="3" s="1"/>
  <c r="F2812" i="3"/>
  <c r="K2812" i="3" s="1"/>
  <c r="F2815" i="3"/>
  <c r="F2816" i="3"/>
  <c r="K2816" i="3" s="1"/>
  <c r="F2817" i="3"/>
  <c r="K2817" i="3" s="1"/>
  <c r="F2818" i="3"/>
  <c r="K2818" i="3" s="1"/>
  <c r="F2819" i="3"/>
  <c r="K2819" i="3" s="1"/>
  <c r="F2820" i="3"/>
  <c r="K2820" i="3" s="1"/>
  <c r="F2821" i="3"/>
  <c r="K2821" i="3" s="1"/>
  <c r="C2825" i="3"/>
  <c r="F2825" i="3" s="1"/>
  <c r="K2825" i="3" s="1"/>
  <c r="C2827" i="3"/>
  <c r="F2827" i="3" s="1"/>
  <c r="K2827" i="3" s="1"/>
  <c r="C2829" i="3"/>
  <c r="F2829" i="3" s="1"/>
  <c r="K2829" i="3" s="1"/>
  <c r="F2833" i="3"/>
  <c r="K2833" i="3" s="1"/>
  <c r="F2834" i="3"/>
  <c r="K2834" i="3" s="1"/>
  <c r="F2835" i="3"/>
  <c r="K2835" i="3" s="1"/>
  <c r="F2838" i="3"/>
  <c r="F2839" i="3"/>
  <c r="K2839" i="3" s="1"/>
  <c r="F2841" i="3"/>
  <c r="F2842" i="3"/>
  <c r="K2842" i="3" s="1"/>
  <c r="F2843" i="3"/>
  <c r="K2843" i="3" s="1"/>
  <c r="F2844" i="3"/>
  <c r="K2844" i="3" s="1"/>
  <c r="F2845" i="3"/>
  <c r="K2845" i="3" s="1"/>
  <c r="F2846" i="3"/>
  <c r="K2846" i="3" s="1"/>
  <c r="F2847" i="3"/>
  <c r="K2847" i="3" s="1"/>
  <c r="F2848" i="3"/>
  <c r="K2848" i="3" s="1"/>
  <c r="F2849" i="3"/>
  <c r="K2849" i="3" s="1"/>
  <c r="F2874" i="3"/>
  <c r="F2875" i="3"/>
  <c r="K2875" i="3" s="1"/>
  <c r="F2876" i="3"/>
  <c r="K2876" i="3" s="1"/>
  <c r="F2878" i="3"/>
  <c r="F2879" i="3"/>
  <c r="K2879" i="3" s="1"/>
  <c r="F2881" i="3"/>
  <c r="F2882" i="3"/>
  <c r="K2882" i="3" s="1"/>
  <c r="F2883" i="3"/>
  <c r="K2883" i="3" s="1"/>
  <c r="F2884" i="3"/>
  <c r="K2884" i="3" s="1"/>
  <c r="F2885" i="3"/>
  <c r="K2885" i="3" s="1"/>
  <c r="F2886" i="3"/>
  <c r="K2886" i="3" s="1"/>
  <c r="F2887" i="3"/>
  <c r="K2887" i="3" s="1"/>
  <c r="F2888" i="3"/>
  <c r="K2888" i="3" s="1"/>
  <c r="F2889" i="3"/>
  <c r="K2889" i="3" s="1"/>
  <c r="F2891" i="3"/>
  <c r="F2892" i="3"/>
  <c r="K2892" i="3" s="1"/>
  <c r="F2893" i="3"/>
  <c r="K2893" i="3" s="1"/>
  <c r="F2894" i="3"/>
  <c r="K2894" i="3" s="1"/>
  <c r="F2895" i="3"/>
  <c r="K2895" i="3" s="1"/>
  <c r="F2896" i="3"/>
  <c r="K2896" i="3" s="1"/>
  <c r="F2898" i="3"/>
  <c r="F2899" i="3"/>
  <c r="K2899" i="3" s="1"/>
  <c r="F2900" i="3"/>
  <c r="K2900" i="3" s="1"/>
  <c r="F2901" i="3"/>
  <c r="K2901" i="3" s="1"/>
  <c r="F2902" i="3"/>
  <c r="K2902" i="3" s="1"/>
  <c r="F2903" i="3"/>
  <c r="K2903" i="3" s="1"/>
  <c r="F2904" i="3"/>
  <c r="K2904" i="3" s="1"/>
  <c r="F2905" i="3"/>
  <c r="K2905" i="3" s="1"/>
  <c r="F2906" i="3"/>
  <c r="K2906" i="3" s="1"/>
  <c r="F2908" i="3"/>
  <c r="F2911" i="3"/>
  <c r="F2912" i="3"/>
  <c r="K2912" i="3" s="1"/>
  <c r="F2913" i="3"/>
  <c r="K2913" i="3" s="1"/>
  <c r="C2915" i="3"/>
  <c r="F2915" i="3" s="1"/>
  <c r="F2918" i="3"/>
  <c r="F2923" i="3"/>
  <c r="F2924" i="3"/>
  <c r="K2924" i="3" s="1"/>
  <c r="F2955" i="3"/>
  <c r="K2955" i="3" s="1"/>
  <c r="F2956" i="3"/>
  <c r="K2956" i="3" s="1"/>
  <c r="F2957" i="3"/>
  <c r="K2957" i="3" s="1"/>
  <c r="F2958" i="3"/>
  <c r="K2958" i="3" s="1"/>
  <c r="F2959" i="3"/>
  <c r="K2959" i="3" s="1"/>
  <c r="F2960" i="3"/>
  <c r="K2960" i="3" s="1"/>
  <c r="F2961" i="3"/>
  <c r="K2961" i="3" s="1"/>
  <c r="F2962" i="3"/>
  <c r="K2962" i="3" s="1"/>
  <c r="F2964" i="3"/>
  <c r="F2965" i="3"/>
  <c r="K2965" i="3" s="1"/>
  <c r="F2966" i="3"/>
  <c r="K2966" i="3" s="1"/>
  <c r="F2967" i="3"/>
  <c r="K2967" i="3" s="1"/>
  <c r="F2968" i="3"/>
  <c r="K2968" i="3" s="1"/>
  <c r="C2971" i="3"/>
  <c r="F2971" i="3" s="1"/>
  <c r="F146" i="3"/>
  <c r="F147" i="3"/>
  <c r="T147" i="3" s="1"/>
  <c r="F148" i="3"/>
  <c r="P148" i="3" s="1"/>
  <c r="F149" i="3"/>
  <c r="P149" i="3" s="1"/>
  <c r="F150" i="3"/>
  <c r="P150" i="3" s="1"/>
  <c r="F151" i="3"/>
  <c r="P151" i="3" s="1"/>
  <c r="F152" i="3"/>
  <c r="P152" i="3" s="1"/>
  <c r="F153" i="3"/>
  <c r="P153" i="3" s="1"/>
  <c r="F217" i="3"/>
  <c r="F218" i="3"/>
  <c r="F220" i="3"/>
  <c r="F221" i="3"/>
  <c r="F223" i="3"/>
  <c r="F224" i="3"/>
  <c r="F226" i="3"/>
  <c r="F229" i="3"/>
  <c r="F230" i="3"/>
  <c r="F231" i="3"/>
  <c r="C233" i="3"/>
  <c r="F233" i="3" s="1"/>
  <c r="K333" i="27"/>
  <c r="F340" i="3"/>
  <c r="K334" i="27" s="1"/>
  <c r="F343" i="3"/>
  <c r="K336" i="27" s="1"/>
  <c r="F501" i="3"/>
  <c r="U501" i="3" s="1"/>
  <c r="F606" i="3"/>
  <c r="K390" i="27" s="1"/>
  <c r="F609" i="3"/>
  <c r="K391" i="27" s="1"/>
  <c r="F613" i="3"/>
  <c r="K392" i="27" s="1"/>
  <c r="C620" i="3"/>
  <c r="F620" i="3" s="1"/>
  <c r="K396" i="27" s="1"/>
  <c r="F623" i="3"/>
  <c r="F624" i="3"/>
  <c r="F845" i="3"/>
  <c r="F846" i="3"/>
  <c r="F847" i="3"/>
  <c r="F848" i="3"/>
  <c r="F851" i="3"/>
  <c r="K450" i="27" s="1"/>
  <c r="F855" i="3"/>
  <c r="K452" i="27" s="1"/>
  <c r="F860" i="3"/>
  <c r="K454" i="27" s="1"/>
  <c r="F863" i="3"/>
  <c r="K455" i="27" s="1"/>
  <c r="F866" i="3"/>
  <c r="F867" i="3"/>
  <c r="F868" i="3"/>
  <c r="F872" i="3"/>
  <c r="F874" i="3"/>
  <c r="F877" i="3"/>
  <c r="K459" i="27" s="1"/>
  <c r="F881" i="3"/>
  <c r="F882" i="3"/>
  <c r="F883" i="3"/>
  <c r="F947" i="3"/>
  <c r="F948" i="3"/>
  <c r="F949" i="3"/>
  <c r="F950" i="3"/>
  <c r="F951" i="3"/>
  <c r="F952" i="3"/>
  <c r="F955" i="3"/>
  <c r="K475" i="27" s="1"/>
  <c r="F958" i="3"/>
  <c r="K476" i="27" s="1"/>
  <c r="F963" i="3"/>
  <c r="K478" i="27" s="1"/>
  <c r="F1270" i="3"/>
  <c r="K532" i="27" s="1"/>
  <c r="F1272" i="3"/>
  <c r="K533" i="27" s="1"/>
  <c r="F1274" i="3"/>
  <c r="K534" i="27" s="1"/>
  <c r="F1278" i="3"/>
  <c r="F1279" i="3"/>
  <c r="F1280" i="3"/>
  <c r="F1384" i="3"/>
  <c r="F1385" i="3"/>
  <c r="F1387" i="3"/>
  <c r="F1388" i="3"/>
  <c r="F1393" i="3"/>
  <c r="K561" i="27" s="1"/>
  <c r="F1395" i="3"/>
  <c r="F1396" i="3"/>
  <c r="F1397" i="3"/>
  <c r="F1398" i="3"/>
  <c r="F1399" i="3"/>
  <c r="F1402" i="3"/>
  <c r="F1403" i="3"/>
  <c r="F1404" i="3"/>
  <c r="C1406" i="3"/>
  <c r="F1406" i="3" s="1"/>
  <c r="K565" i="27" s="1"/>
  <c r="F1409" i="3"/>
  <c r="F1410" i="3"/>
  <c r="F1411" i="3"/>
  <c r="F1556" i="3"/>
  <c r="F1557" i="3" s="1"/>
  <c r="K595" i="27" s="1"/>
  <c r="F1553" i="3"/>
  <c r="F1554" i="3" s="1"/>
  <c r="K594" i="27" s="1"/>
  <c r="F1591" i="3"/>
  <c r="F1592" i="3"/>
  <c r="F1593" i="3"/>
  <c r="F1594" i="3"/>
  <c r="F1595" i="3"/>
  <c r="F1596" i="3"/>
  <c r="F1587" i="3"/>
  <c r="C1588" i="3"/>
  <c r="F1588" i="3" s="1"/>
  <c r="F1583" i="3"/>
  <c r="F1584" i="3"/>
  <c r="F1658" i="3"/>
  <c r="F1659" i="3"/>
  <c r="F1660" i="3"/>
  <c r="F1654" i="3"/>
  <c r="F1655" i="3"/>
  <c r="F1651" i="3"/>
  <c r="F1652" i="3" s="1"/>
  <c r="K605" i="27" s="1"/>
  <c r="F1689" i="3"/>
  <c r="F1690" i="3" s="1"/>
  <c r="K612" i="27" s="1"/>
  <c r="F1686" i="3"/>
  <c r="F1687" i="3" s="1"/>
  <c r="K611" i="27" s="1"/>
  <c r="F1725" i="3"/>
  <c r="F1726" i="3"/>
  <c r="F1727" i="3"/>
  <c r="F1728" i="3"/>
  <c r="F1729" i="3"/>
  <c r="F1730" i="3"/>
  <c r="F1721" i="3"/>
  <c r="C1722" i="3"/>
  <c r="F1722" i="3" s="1"/>
  <c r="F1718" i="3"/>
  <c r="F2132" i="3"/>
  <c r="F2133" i="3" s="1"/>
  <c r="K682" i="27" s="1"/>
  <c r="F2129" i="3"/>
  <c r="F2130" i="3" s="1"/>
  <c r="K681" i="27" s="1"/>
  <c r="F2161" i="3"/>
  <c r="F2158" i="3"/>
  <c r="F2159" i="3" s="1"/>
  <c r="K686" i="27" s="1"/>
  <c r="F2205" i="3"/>
  <c r="F2206" i="3"/>
  <c r="F2207" i="3"/>
  <c r="F2208" i="3"/>
  <c r="F2209" i="3"/>
  <c r="F2210" i="3"/>
  <c r="F2211" i="3"/>
  <c r="F2212" i="3"/>
  <c r="F2200" i="3"/>
  <c r="F2201" i="3"/>
  <c r="F2202" i="3"/>
  <c r="F2197" i="3"/>
  <c r="F2198" i="3" s="1"/>
  <c r="K691" i="27" s="1"/>
  <c r="F2261" i="3"/>
  <c r="F2262" i="3"/>
  <c r="F2263" i="3"/>
  <c r="F2257" i="3"/>
  <c r="F2258" i="3"/>
  <c r="F2254" i="3"/>
  <c r="F2255" i="3" s="1"/>
  <c r="K697" i="27" s="1"/>
  <c r="F2302" i="3"/>
  <c r="F2303" i="3"/>
  <c r="F2304" i="3"/>
  <c r="F2298" i="3"/>
  <c r="F2299" i="3"/>
  <c r="F2295" i="3"/>
  <c r="F2296" i="3" s="1"/>
  <c r="K703" i="27" s="1"/>
  <c r="F2346" i="3"/>
  <c r="F2347" i="3"/>
  <c r="F2342" i="3"/>
  <c r="F2343" i="3"/>
  <c r="F2339" i="3"/>
  <c r="F2340" i="3" s="1"/>
  <c r="K709" i="27" s="1"/>
  <c r="F2392" i="3"/>
  <c r="F2393" i="3" s="1"/>
  <c r="K718" i="27" s="1"/>
  <c r="F2388" i="3"/>
  <c r="F2389" i="3"/>
  <c r="F2385" i="3"/>
  <c r="F2386" i="3" s="1"/>
  <c r="K716" i="27" s="1"/>
  <c r="F2382" i="3"/>
  <c r="F2383" i="3" s="1"/>
  <c r="K715" i="27" s="1"/>
  <c r="F2435" i="3"/>
  <c r="F2436" i="3"/>
  <c r="F2437" i="3"/>
  <c r="F2431" i="3"/>
  <c r="F2432" i="3"/>
  <c r="F2428" i="3"/>
  <c r="F2429" i="3" s="1"/>
  <c r="K722" i="27" s="1"/>
  <c r="F2483" i="3"/>
  <c r="F2484" i="3"/>
  <c r="F2485" i="3"/>
  <c r="F2486" i="3"/>
  <c r="F2479" i="3"/>
  <c r="F2480" i="3"/>
  <c r="F2476" i="3"/>
  <c r="F2477" i="3" s="1"/>
  <c r="K728" i="27" s="1"/>
  <c r="F2536" i="3"/>
  <c r="F2537" i="3"/>
  <c r="F2532" i="3"/>
  <c r="F2533" i="3"/>
  <c r="F2529" i="3"/>
  <c r="F2530" i="3" s="1"/>
  <c r="K734" i="27" s="1"/>
  <c r="F2566" i="3"/>
  <c r="F2567" i="3" s="1"/>
  <c r="F2563" i="3"/>
  <c r="F2564" i="3" s="1"/>
  <c r="F2594" i="3"/>
  <c r="F2595" i="3"/>
  <c r="F2596" i="3"/>
  <c r="F2597" i="3"/>
  <c r="F2598" i="3"/>
  <c r="F2599" i="3"/>
  <c r="F2590" i="3"/>
  <c r="C2591" i="3"/>
  <c r="F2591" i="3" s="1"/>
  <c r="F2587" i="3"/>
  <c r="F2588" i="3" s="1"/>
  <c r="F2625" i="3"/>
  <c r="F2626" i="3"/>
  <c r="F2627" i="3"/>
  <c r="F2621" i="3"/>
  <c r="F2622" i="3"/>
  <c r="F2618" i="3"/>
  <c r="F2619" i="3" s="1"/>
  <c r="F2832" i="3"/>
  <c r="F2995" i="3"/>
  <c r="F2998" i="3"/>
  <c r="U2998" i="3" s="1"/>
  <c r="F2999" i="3"/>
  <c r="L2999" i="3" s="1"/>
  <c r="F3001" i="3"/>
  <c r="F3002" i="3"/>
  <c r="U3002" i="3" s="1"/>
  <c r="F3003" i="3"/>
  <c r="L3003" i="3" s="1"/>
  <c r="F3004" i="3"/>
  <c r="L3004" i="3" s="1"/>
  <c r="F3005" i="3"/>
  <c r="U3005" i="3" s="1"/>
  <c r="C3008" i="3"/>
  <c r="F3008" i="3" s="1"/>
  <c r="U3008" i="3" s="1"/>
  <c r="C3009" i="3"/>
  <c r="F3009" i="3" s="1"/>
  <c r="L3009" i="3" s="1"/>
  <c r="F3010" i="3"/>
  <c r="T3010" i="3" s="1"/>
  <c r="F3011" i="3"/>
  <c r="L3011" i="3" s="1"/>
  <c r="F3012" i="3"/>
  <c r="L3012" i="3" s="1"/>
  <c r="F3016" i="3"/>
  <c r="F3017" i="3"/>
  <c r="F3018" i="3"/>
  <c r="L3018" i="3" s="1"/>
  <c r="F3111" i="3"/>
  <c r="K819" i="27" s="1"/>
  <c r="F3114" i="3"/>
  <c r="K820" i="27" s="1"/>
  <c r="F3117" i="3"/>
  <c r="F3118" i="3"/>
  <c r="F3119" i="3"/>
  <c r="F3123" i="3"/>
  <c r="F3124" i="3"/>
  <c r="F3125" i="3"/>
  <c r="F3128" i="3"/>
  <c r="K824" i="27" s="1"/>
  <c r="F181" i="3"/>
  <c r="F182" i="3"/>
  <c r="F183" i="3"/>
  <c r="F184" i="3"/>
  <c r="F188" i="3"/>
  <c r="K320" i="27" s="1"/>
  <c r="F190" i="3"/>
  <c r="K321" i="27" s="1"/>
  <c r="F193" i="3"/>
  <c r="K323" i="27" s="1"/>
  <c r="F1027" i="3"/>
  <c r="F1028" i="3"/>
  <c r="F1029" i="3"/>
  <c r="F1030" i="3"/>
  <c r="F1031" i="3"/>
  <c r="F1032" i="3"/>
  <c r="F1035" i="3"/>
  <c r="K491" i="27" s="1"/>
  <c r="F1038" i="3"/>
  <c r="K492" i="27" s="1"/>
  <c r="F1043" i="3"/>
  <c r="K494" i="27" s="1"/>
  <c r="F1114" i="3"/>
  <c r="F1115" i="3"/>
  <c r="F1116" i="3"/>
  <c r="F1117" i="3"/>
  <c r="F1118" i="3"/>
  <c r="K508" i="27" s="1"/>
  <c r="F1119" i="3"/>
  <c r="F1120" i="3"/>
  <c r="F1121" i="3"/>
  <c r="K509" i="27" s="1"/>
  <c r="F1122" i="3"/>
  <c r="F1123" i="3"/>
  <c r="F1124" i="3"/>
  <c r="F1125" i="3"/>
  <c r="K511" i="27" s="1"/>
  <c r="F1303" i="3"/>
  <c r="F1304" i="3"/>
  <c r="F1305" i="3"/>
  <c r="F1306" i="3"/>
  <c r="F1310" i="3"/>
  <c r="K541" i="27" s="1"/>
  <c r="F1314" i="3"/>
  <c r="K543" i="27" s="1"/>
  <c r="N2" i="3"/>
  <c r="I9" i="25" s="1"/>
  <c r="O2" i="3"/>
  <c r="J9" i="25" s="1"/>
  <c r="F2803" i="3"/>
  <c r="Q2803" i="3" s="1"/>
  <c r="F2950" i="3"/>
  <c r="F2951" i="3"/>
  <c r="Q2951" i="3" s="1"/>
  <c r="F69" i="3"/>
  <c r="R69" i="3" s="1"/>
  <c r="F72" i="3"/>
  <c r="F73" i="3"/>
  <c r="R73" i="3" s="1"/>
  <c r="F74" i="3"/>
  <c r="R74" i="3" s="1"/>
  <c r="F75" i="3"/>
  <c r="R75" i="3" s="1"/>
  <c r="F76" i="3"/>
  <c r="R76" i="3" s="1"/>
  <c r="F77" i="3"/>
  <c r="R77" i="3" s="1"/>
  <c r="F78" i="3"/>
  <c r="R78" i="3" s="1"/>
  <c r="F79" i="3"/>
  <c r="R79" i="3" s="1"/>
  <c r="F80" i="3"/>
  <c r="R80" i="3" s="1"/>
  <c r="F81" i="3"/>
  <c r="R81" i="3" s="1"/>
  <c r="F82" i="3"/>
  <c r="R82" i="3" s="1"/>
  <c r="F83" i="3"/>
  <c r="R83" i="3" s="1"/>
  <c r="F84" i="3"/>
  <c r="R84" i="3" s="1"/>
  <c r="F85" i="3"/>
  <c r="R85" i="3" s="1"/>
  <c r="F86" i="3"/>
  <c r="R86" i="3" s="1"/>
  <c r="F87" i="3"/>
  <c r="R87" i="3" s="1"/>
  <c r="F88" i="3"/>
  <c r="R88" i="3" s="1"/>
  <c r="F89" i="3"/>
  <c r="R89" i="3" s="1"/>
  <c r="F90" i="3"/>
  <c r="R90" i="3" s="1"/>
  <c r="F91" i="3"/>
  <c r="R91" i="3" s="1"/>
  <c r="F92" i="3"/>
  <c r="R92" i="3" s="1"/>
  <c r="F94" i="3"/>
  <c r="F101" i="3"/>
  <c r="F104" i="3"/>
  <c r="F129" i="3"/>
  <c r="F130" i="3"/>
  <c r="R130" i="3" s="1"/>
  <c r="F140" i="3"/>
  <c r="F144" i="3"/>
  <c r="F97" i="3"/>
  <c r="K97" i="3" s="1"/>
  <c r="F98" i="3"/>
  <c r="K98" i="3" s="1"/>
  <c r="F418" i="3"/>
  <c r="F419" i="3"/>
  <c r="F422" i="3"/>
  <c r="F423" i="3"/>
  <c r="F424" i="3"/>
  <c r="F428" i="3"/>
  <c r="K352" i="27" s="1"/>
  <c r="F432" i="3"/>
  <c r="K354" i="27" s="1"/>
  <c r="K422" i="27"/>
  <c r="F736" i="3"/>
  <c r="K424" i="27" s="1"/>
  <c r="F739" i="3"/>
  <c r="F740" i="3"/>
  <c r="F742" i="3"/>
  <c r="K426" i="27" s="1"/>
  <c r="F746" i="3"/>
  <c r="K428" i="27" s="1"/>
  <c r="F781" i="3"/>
  <c r="K436" i="27" s="1"/>
  <c r="F783" i="3"/>
  <c r="K437" i="27" s="1"/>
  <c r="F786" i="3"/>
  <c r="F787" i="3"/>
  <c r="F788" i="3"/>
  <c r="F789" i="3"/>
  <c r="F813" i="3"/>
  <c r="K443" i="27" s="1"/>
  <c r="F816" i="3"/>
  <c r="K444" i="27" s="1"/>
  <c r="F819" i="3"/>
  <c r="K445" i="27" s="1"/>
  <c r="F989" i="3"/>
  <c r="F990" i="3"/>
  <c r="F993" i="3"/>
  <c r="K483" i="27" s="1"/>
  <c r="F997" i="3"/>
  <c r="F998" i="3"/>
  <c r="F999" i="3"/>
  <c r="F1001" i="3"/>
  <c r="K486" i="27" s="1"/>
  <c r="F1068" i="3"/>
  <c r="F1069" i="3"/>
  <c r="F1070" i="3"/>
  <c r="F1071" i="3"/>
  <c r="F1074" i="3"/>
  <c r="K499" i="27" s="1"/>
  <c r="F1077" i="3"/>
  <c r="K500" i="27" s="1"/>
  <c r="F1080" i="3"/>
  <c r="F1081" i="3"/>
  <c r="F1082" i="3"/>
  <c r="F1087" i="3"/>
  <c r="K503" i="27" s="1"/>
  <c r="F1434" i="3"/>
  <c r="F1435" i="3"/>
  <c r="F1436" i="3"/>
  <c r="F1437" i="3"/>
  <c r="F1438" i="3"/>
  <c r="F1439" i="3"/>
  <c r="F1444" i="3"/>
  <c r="K572" i="27" s="1"/>
  <c r="F1448" i="3"/>
  <c r="K574" i="27" s="1"/>
  <c r="F1469" i="3"/>
  <c r="F1470" i="3"/>
  <c r="F1471" i="3"/>
  <c r="F1472" i="3"/>
  <c r="F1475" i="3"/>
  <c r="K579" i="27" s="1"/>
  <c r="F1478" i="3"/>
  <c r="K580" i="27" s="1"/>
  <c r="F1482" i="3"/>
  <c r="K582" i="27" s="1"/>
  <c r="F1507" i="3"/>
  <c r="F1508" i="3"/>
  <c r="F1509" i="3"/>
  <c r="F1510" i="3"/>
  <c r="F1514" i="3"/>
  <c r="F1515" i="3"/>
  <c r="F1523" i="3"/>
  <c r="K588" i="27" s="1"/>
  <c r="F1527" i="3"/>
  <c r="K590" i="27" s="1"/>
  <c r="F138" i="3"/>
  <c r="F2792" i="3"/>
  <c r="C2795" i="3"/>
  <c r="F2795" i="3" s="1"/>
  <c r="T2795" i="3" s="1"/>
  <c r="C2824" i="3"/>
  <c r="F2824" i="3" s="1"/>
  <c r="C2826" i="3"/>
  <c r="F2826" i="3" s="1"/>
  <c r="T2826" i="3" s="1"/>
  <c r="C2828" i="3"/>
  <c r="F2828" i="3" s="1"/>
  <c r="T2828" i="3" s="1"/>
  <c r="F3153" i="3"/>
  <c r="F3155" i="3" s="1"/>
  <c r="F1231" i="3"/>
  <c r="F1232" i="3"/>
  <c r="F1233" i="3"/>
  <c r="F1234" i="3"/>
  <c r="F1238" i="3"/>
  <c r="K525" i="27" s="1"/>
  <c r="F1241" i="3"/>
  <c r="K526" i="27" s="1"/>
  <c r="F1245" i="3"/>
  <c r="K528" i="27" s="1"/>
  <c r="F107" i="3"/>
  <c r="L107" i="3" s="1"/>
  <c r="F108" i="3"/>
  <c r="U108" i="3" s="1"/>
  <c r="F109" i="3"/>
  <c r="U109" i="3" s="1"/>
  <c r="F110" i="3"/>
  <c r="U110" i="3" s="1"/>
  <c r="F111" i="3"/>
  <c r="V111" i="3" s="1"/>
  <c r="F112" i="3"/>
  <c r="T112" i="3" s="1"/>
  <c r="F113" i="3"/>
  <c r="V113" i="3" s="1"/>
  <c r="F114" i="3"/>
  <c r="U114" i="3" s="1"/>
  <c r="F115" i="3"/>
  <c r="T115" i="3" s="1"/>
  <c r="F116" i="3"/>
  <c r="U116" i="3" s="1"/>
  <c r="F117" i="3"/>
  <c r="U117" i="3" s="1"/>
  <c r="F133" i="3"/>
  <c r="V133" i="3" s="1"/>
  <c r="F134" i="3"/>
  <c r="K134" i="3" s="1"/>
  <c r="F135" i="3"/>
  <c r="F121" i="3"/>
  <c r="F122" i="3"/>
  <c r="W122" i="3" s="1"/>
  <c r="F123" i="3"/>
  <c r="W123" i="3" s="1"/>
  <c r="F124" i="3"/>
  <c r="W124" i="3" s="1"/>
  <c r="F125" i="3"/>
  <c r="W125" i="3" s="1"/>
  <c r="F126" i="3"/>
  <c r="W126" i="3" s="1"/>
  <c r="F127" i="3"/>
  <c r="W127" i="3" s="1"/>
  <c r="X2" i="3"/>
  <c r="S9" i="25" s="1"/>
  <c r="Y2" i="3"/>
  <c r="T9" i="25" s="1"/>
  <c r="V9" i="25"/>
  <c r="F16" i="3"/>
  <c r="K16" i="3" s="1"/>
  <c r="F17" i="3"/>
  <c r="K17" i="3" s="1"/>
  <c r="F18" i="3"/>
  <c r="K18" i="3" s="1"/>
  <c r="F19" i="3"/>
  <c r="K19" i="3" s="1"/>
  <c r="F20" i="3"/>
  <c r="K20" i="3" s="1"/>
  <c r="C21" i="3"/>
  <c r="F21" i="3" s="1"/>
  <c r="K21" i="3" s="1"/>
  <c r="F22" i="3"/>
  <c r="K22" i="3" s="1"/>
  <c r="F23" i="3"/>
  <c r="K23" i="3" s="1"/>
  <c r="F24" i="3"/>
  <c r="K24" i="3" s="1"/>
  <c r="F25" i="3"/>
  <c r="K25" i="3" s="1"/>
  <c r="F26" i="3"/>
  <c r="K26" i="3" s="1"/>
  <c r="F27" i="3"/>
  <c r="K27" i="3" s="1"/>
  <c r="F28" i="3"/>
  <c r="K28" i="3" s="1"/>
  <c r="F29" i="3"/>
  <c r="K29" i="3" s="1"/>
  <c r="F30" i="3"/>
  <c r="K30" i="3" s="1"/>
  <c r="F31" i="3"/>
  <c r="K31" i="3" s="1"/>
  <c r="F32" i="3"/>
  <c r="K32" i="3" s="1"/>
  <c r="F33" i="3"/>
  <c r="K33" i="3" s="1"/>
  <c r="F34" i="3"/>
  <c r="K34" i="3" s="1"/>
  <c r="F35" i="3"/>
  <c r="K35" i="3" s="1"/>
  <c r="F36" i="3"/>
  <c r="K36" i="3" s="1"/>
  <c r="F37" i="3"/>
  <c r="K37" i="3" s="1"/>
  <c r="F38" i="3"/>
  <c r="K38" i="3" s="1"/>
  <c r="F39" i="3"/>
  <c r="K39" i="3" s="1"/>
  <c r="F40" i="3"/>
  <c r="K40" i="3" s="1"/>
  <c r="F41" i="3"/>
  <c r="K41" i="3" s="1"/>
  <c r="F42" i="3"/>
  <c r="L42" i="3" s="1"/>
  <c r="F43" i="3"/>
  <c r="L43" i="3" s="1"/>
  <c r="F44" i="3"/>
  <c r="L44" i="3" s="1"/>
  <c r="F45" i="3"/>
  <c r="L45" i="3" s="1"/>
  <c r="F46" i="3"/>
  <c r="L46" i="3" s="1"/>
  <c r="F47" i="3"/>
  <c r="L47" i="3" s="1"/>
  <c r="F49" i="3"/>
  <c r="W49" i="3" s="1"/>
  <c r="F50" i="3"/>
  <c r="W50" i="3" s="1"/>
  <c r="F51" i="3"/>
  <c r="W51" i="3" s="1"/>
  <c r="F53" i="3"/>
  <c r="W53" i="3" s="1"/>
  <c r="F54" i="3"/>
  <c r="W54" i="3" s="1"/>
  <c r="F55" i="3"/>
  <c r="W55" i="3" s="1"/>
  <c r="F56" i="3"/>
  <c r="W56" i="3" s="1"/>
  <c r="F57" i="3"/>
  <c r="W57" i="3" s="1"/>
  <c r="F58" i="3"/>
  <c r="T58" i="3" s="1"/>
  <c r="F59" i="3"/>
  <c r="W59" i="3" s="1"/>
  <c r="F60" i="3"/>
  <c r="W60" i="3" s="1"/>
  <c r="F61" i="3"/>
  <c r="W61" i="3" s="1"/>
  <c r="F62" i="3"/>
  <c r="W62" i="3" s="1"/>
  <c r="F63" i="3"/>
  <c r="W63" i="3" s="1"/>
  <c r="F64" i="3"/>
  <c r="W64" i="3" s="1"/>
  <c r="F65" i="3"/>
  <c r="W65" i="3" s="1"/>
  <c r="F66" i="3"/>
  <c r="W66" i="3" s="1"/>
  <c r="F67" i="3"/>
  <c r="W67" i="3" s="1"/>
  <c r="F365" i="3"/>
  <c r="F366" i="3"/>
  <c r="F367" i="3"/>
  <c r="F368" i="3"/>
  <c r="F369" i="3"/>
  <c r="F370" i="3"/>
  <c r="F371" i="3"/>
  <c r="C375" i="3"/>
  <c r="F375" i="3" s="1"/>
  <c r="F377" i="3"/>
  <c r="F378" i="3"/>
  <c r="F379" i="3"/>
  <c r="F380" i="3"/>
  <c r="F384" i="3"/>
  <c r="K342" i="27" s="1"/>
  <c r="F387" i="3"/>
  <c r="K343" i="27" s="1"/>
  <c r="C393" i="3"/>
  <c r="F393" i="3" s="1"/>
  <c r="K346" i="27" s="1"/>
  <c r="F458" i="3"/>
  <c r="K458" i="3" s="1"/>
  <c r="F459" i="3"/>
  <c r="K459" i="3" s="1"/>
  <c r="F460" i="3"/>
  <c r="K460" i="3" s="1"/>
  <c r="F461" i="3"/>
  <c r="K461" i="3" s="1"/>
  <c r="F464" i="3"/>
  <c r="K464" i="3" s="1"/>
  <c r="F467" i="3"/>
  <c r="K467" i="3" s="1"/>
  <c r="F468" i="3"/>
  <c r="K468" i="3" s="1"/>
  <c r="F469" i="3"/>
  <c r="K469" i="3" s="1"/>
  <c r="F480" i="3"/>
  <c r="K480" i="3" s="1"/>
  <c r="F484" i="3"/>
  <c r="K484" i="3" s="1"/>
  <c r="F488" i="3"/>
  <c r="K488" i="3" s="1"/>
  <c r="F489" i="3"/>
  <c r="K489" i="3" s="1"/>
  <c r="F491" i="3"/>
  <c r="K491" i="3" s="1"/>
  <c r="F493" i="3"/>
  <c r="K493" i="3" s="1"/>
  <c r="F497" i="3"/>
  <c r="K497" i="3" s="1"/>
  <c r="F526" i="3"/>
  <c r="F527" i="3"/>
  <c r="F530" i="3"/>
  <c r="F531" i="3"/>
  <c r="F532" i="3"/>
  <c r="F533" i="3"/>
  <c r="F535" i="3"/>
  <c r="K375" i="27" s="1"/>
  <c r="F538" i="3"/>
  <c r="K376" i="27" s="1"/>
  <c r="F542" i="3"/>
  <c r="F543" i="3"/>
  <c r="F567" i="3"/>
  <c r="F568" i="3"/>
  <c r="F569" i="3"/>
  <c r="F570" i="3"/>
  <c r="F571" i="3"/>
  <c r="F574" i="3"/>
  <c r="K383" i="27" s="1"/>
  <c r="F577" i="3"/>
  <c r="K384" i="27" s="1"/>
  <c r="F582" i="3"/>
  <c r="K386" i="27" s="1"/>
  <c r="F647" i="3"/>
  <c r="F648" i="3"/>
  <c r="F649" i="3"/>
  <c r="F652" i="3"/>
  <c r="K402" i="27" s="1"/>
  <c r="F656" i="3"/>
  <c r="K403" i="27" s="1"/>
  <c r="F661" i="3"/>
  <c r="K406" i="27" s="1"/>
  <c r="F909" i="3"/>
  <c r="F910" i="3"/>
  <c r="F913" i="3"/>
  <c r="K466" i="27" s="1"/>
  <c r="F915" i="3"/>
  <c r="K467" i="27" s="1"/>
  <c r="F918" i="3"/>
  <c r="K468" i="27" s="1"/>
  <c r="F922" i="3"/>
  <c r="K470" i="27" s="1"/>
  <c r="F2724" i="3"/>
  <c r="F2725" i="3" s="1"/>
  <c r="F2721" i="3"/>
  <c r="F2722" i="3" s="1"/>
  <c r="K752" i="27" s="1"/>
  <c r="F2761" i="3"/>
  <c r="F2762" i="3"/>
  <c r="F2763" i="3"/>
  <c r="F2764" i="3"/>
  <c r="F2765" i="3"/>
  <c r="F2766" i="3"/>
  <c r="F2757" i="3"/>
  <c r="F2758" i="3"/>
  <c r="F2753" i="3"/>
  <c r="F2754" i="3"/>
  <c r="F3042" i="3"/>
  <c r="F3043" i="3"/>
  <c r="F3044" i="3"/>
  <c r="F3045" i="3"/>
  <c r="F3046" i="3"/>
  <c r="F3048" i="3"/>
  <c r="F3049" i="3"/>
  <c r="F3050" i="3"/>
  <c r="F3051" i="3"/>
  <c r="F3054" i="3"/>
  <c r="K815" i="27" s="1"/>
  <c r="F15" i="1"/>
  <c r="K48" i="27" s="1"/>
  <c r="F43" i="1"/>
  <c r="F44" i="1"/>
  <c r="J44" i="1" s="1"/>
  <c r="F45" i="1"/>
  <c r="J45" i="1" s="1"/>
  <c r="F117" i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F126" i="1"/>
  <c r="J126" i="1" s="1"/>
  <c r="F127" i="1"/>
  <c r="J127" i="1" s="1"/>
  <c r="F128" i="1"/>
  <c r="J128" i="1" s="1"/>
  <c r="F129" i="1"/>
  <c r="J129" i="1" s="1"/>
  <c r="F130" i="1"/>
  <c r="J130" i="1" s="1"/>
  <c r="F131" i="1"/>
  <c r="J131" i="1" s="1"/>
  <c r="F132" i="1"/>
  <c r="J132" i="1" s="1"/>
  <c r="F133" i="1"/>
  <c r="J133" i="1" s="1"/>
  <c r="F134" i="1"/>
  <c r="J134" i="1" s="1"/>
  <c r="F135" i="1"/>
  <c r="J135" i="1" s="1"/>
  <c r="F136" i="1"/>
  <c r="J136" i="1" s="1"/>
  <c r="F137" i="1"/>
  <c r="J137" i="1" s="1"/>
  <c r="F138" i="1"/>
  <c r="J138" i="1" s="1"/>
  <c r="F139" i="1"/>
  <c r="J139" i="1" s="1"/>
  <c r="F140" i="1"/>
  <c r="J140" i="1" s="1"/>
  <c r="F141" i="1"/>
  <c r="J141" i="1" s="1"/>
  <c r="F142" i="1"/>
  <c r="J142" i="1" s="1"/>
  <c r="F143" i="1"/>
  <c r="J143" i="1" s="1"/>
  <c r="F144" i="1"/>
  <c r="J144" i="1" s="1"/>
  <c r="F145" i="1"/>
  <c r="J145" i="1" s="1"/>
  <c r="F146" i="1"/>
  <c r="J146" i="1" s="1"/>
  <c r="J147" i="1"/>
  <c r="J148" i="1"/>
  <c r="F149" i="1"/>
  <c r="J150" i="1"/>
  <c r="J151" i="1"/>
  <c r="F152" i="1"/>
  <c r="F153" i="1"/>
  <c r="J153" i="1" s="1"/>
  <c r="F154" i="1"/>
  <c r="J154" i="1" s="1"/>
  <c r="F155" i="1"/>
  <c r="J155" i="1" s="1"/>
  <c r="F156" i="1"/>
  <c r="J156" i="1" s="1"/>
  <c r="F157" i="1"/>
  <c r="J157" i="1" s="1"/>
  <c r="F158" i="1"/>
  <c r="J158" i="1" s="1"/>
  <c r="F159" i="1"/>
  <c r="S159" i="1" s="1"/>
  <c r="F160" i="1"/>
  <c r="J160" i="1" s="1"/>
  <c r="F161" i="1"/>
  <c r="J161" i="1" s="1"/>
  <c r="F162" i="1"/>
  <c r="J162" i="1" s="1"/>
  <c r="F163" i="1"/>
  <c r="J163" i="1" s="1"/>
  <c r="J164" i="1"/>
  <c r="C165" i="1"/>
  <c r="F165" i="1" s="1"/>
  <c r="F166" i="1"/>
  <c r="J166" i="1" s="1"/>
  <c r="F167" i="1"/>
  <c r="J167" i="1" s="1"/>
  <c r="J168" i="1"/>
  <c r="J169" i="1"/>
  <c r="F170" i="1"/>
  <c r="F171" i="1"/>
  <c r="J171" i="1" s="1"/>
  <c r="F172" i="1"/>
  <c r="J172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F179" i="1"/>
  <c r="J179" i="1" s="1"/>
  <c r="F180" i="1"/>
  <c r="J180" i="1" s="1"/>
  <c r="F181" i="1"/>
  <c r="J181" i="1" s="1"/>
  <c r="F182" i="1"/>
  <c r="J182" i="1" s="1"/>
  <c r="F183" i="1"/>
  <c r="J183" i="1" s="1"/>
  <c r="J184" i="1"/>
  <c r="J185" i="1"/>
  <c r="F186" i="1"/>
  <c r="S186" i="1" s="1"/>
  <c r="F187" i="1"/>
  <c r="J187" i="1" s="1"/>
  <c r="F188" i="1"/>
  <c r="J188" i="1" s="1"/>
  <c r="F189" i="1"/>
  <c r="J189" i="1" s="1"/>
  <c r="F190" i="1"/>
  <c r="J190" i="1" s="1"/>
  <c r="F191" i="1"/>
  <c r="J191" i="1" s="1"/>
  <c r="J192" i="1"/>
  <c r="J193" i="1"/>
  <c r="F194" i="1"/>
  <c r="F195" i="1"/>
  <c r="J195" i="1" s="1"/>
  <c r="J196" i="1"/>
  <c r="J197" i="1"/>
  <c r="F198" i="1"/>
  <c r="F199" i="1"/>
  <c r="J199" i="1" s="1"/>
  <c r="F200" i="1"/>
  <c r="J200" i="1" s="1"/>
  <c r="F201" i="1"/>
  <c r="J201" i="1" s="1"/>
  <c r="F202" i="1"/>
  <c r="J202" i="1" s="1"/>
  <c r="J203" i="1"/>
  <c r="J204" i="1"/>
  <c r="F205" i="1"/>
  <c r="J206" i="1"/>
  <c r="J207" i="1"/>
  <c r="F208" i="1"/>
  <c r="S208" i="1" s="1"/>
  <c r="J209" i="1"/>
  <c r="J210" i="1"/>
  <c r="J211" i="1"/>
  <c r="F212" i="1"/>
  <c r="F213" i="1"/>
  <c r="J213" i="1" s="1"/>
  <c r="C214" i="1"/>
  <c r="F214" i="1" s="1"/>
  <c r="J214" i="1" s="1"/>
  <c r="J215" i="1"/>
  <c r="F216" i="1"/>
  <c r="J216" i="1" s="1"/>
  <c r="F217" i="1"/>
  <c r="J217" i="1" s="1"/>
  <c r="F218" i="1"/>
  <c r="J218" i="1" s="1"/>
  <c r="J219" i="1"/>
  <c r="J220" i="1"/>
  <c r="F221" i="1"/>
  <c r="J222" i="1"/>
  <c r="J223" i="1"/>
  <c r="F224" i="1"/>
  <c r="F225" i="1"/>
  <c r="F226" i="1"/>
  <c r="F227" i="1"/>
  <c r="J228" i="1"/>
  <c r="F230" i="1"/>
  <c r="F231" i="1"/>
  <c r="J231" i="1" s="1"/>
  <c r="F232" i="1"/>
  <c r="J232" i="1" s="1"/>
  <c r="F233" i="1"/>
  <c r="J233" i="1" s="1"/>
  <c r="F234" i="1"/>
  <c r="J234" i="1" s="1"/>
  <c r="F235" i="1"/>
  <c r="J235" i="1" s="1"/>
  <c r="J237" i="1"/>
  <c r="J239" i="1"/>
  <c r="J240" i="1"/>
  <c r="J241" i="1"/>
  <c r="F242" i="1"/>
  <c r="F243" i="1"/>
  <c r="J243" i="1" s="1"/>
  <c r="F244" i="1"/>
  <c r="J244" i="1" s="1"/>
  <c r="F245" i="1"/>
  <c r="J245" i="1" s="1"/>
  <c r="F246" i="1"/>
  <c r="J246" i="1" s="1"/>
  <c r="F247" i="1"/>
  <c r="J247" i="1" s="1"/>
  <c r="J248" i="1"/>
  <c r="J249" i="1"/>
  <c r="F250" i="1"/>
  <c r="F252" i="1"/>
  <c r="J252" i="1" s="1"/>
  <c r="F253" i="1"/>
  <c r="J253" i="1" s="1"/>
  <c r="F254" i="1"/>
  <c r="J254" i="1" s="1"/>
  <c r="F255" i="1"/>
  <c r="J255" i="1" s="1"/>
  <c r="F256" i="1"/>
  <c r="J256" i="1" s="1"/>
  <c r="F257" i="1"/>
  <c r="J257" i="1" s="1"/>
  <c r="F258" i="1"/>
  <c r="J258" i="1" s="1"/>
  <c r="F259" i="1"/>
  <c r="J259" i="1" s="1"/>
  <c r="F260" i="1"/>
  <c r="J260" i="1" s="1"/>
  <c r="S261" i="1"/>
  <c r="F262" i="1"/>
  <c r="J262" i="1" s="1"/>
  <c r="F263" i="1"/>
  <c r="J263" i="1" s="1"/>
  <c r="F264" i="1"/>
  <c r="J264" i="1" s="1"/>
  <c r="J265" i="1"/>
  <c r="J266" i="1"/>
  <c r="F267" i="1"/>
  <c r="F268" i="1"/>
  <c r="J268" i="1" s="1"/>
  <c r="F269" i="1"/>
  <c r="J269" i="1" s="1"/>
  <c r="F270" i="1"/>
  <c r="J270" i="1" s="1"/>
  <c r="F271" i="1"/>
  <c r="J271" i="1" s="1"/>
  <c r="F272" i="1"/>
  <c r="J272" i="1" s="1"/>
  <c r="F273" i="1"/>
  <c r="J273" i="1" s="1"/>
  <c r="F374" i="1"/>
  <c r="F375" i="1"/>
  <c r="F376" i="1"/>
  <c r="F377" i="1"/>
  <c r="F378" i="1"/>
  <c r="F381" i="1"/>
  <c r="F382" i="1"/>
  <c r="F385" i="1"/>
  <c r="K111" i="27" s="1"/>
  <c r="F388" i="1"/>
  <c r="F389" i="1"/>
  <c r="F452" i="1"/>
  <c r="K122" i="27" s="1"/>
  <c r="C455" i="1"/>
  <c r="F455" i="1" s="1"/>
  <c r="K123" i="27" s="1"/>
  <c r="F458" i="1"/>
  <c r="F459" i="1"/>
  <c r="F460" i="1"/>
  <c r="F461" i="1"/>
  <c r="F1006" i="1"/>
  <c r="K193" i="27" s="1"/>
  <c r="F1009" i="1"/>
  <c r="K194" i="27" s="1"/>
  <c r="F1012" i="1"/>
  <c r="F1013" i="1"/>
  <c r="F1014" i="1"/>
  <c r="F1021" i="1"/>
  <c r="F1022" i="1"/>
  <c r="F1023" i="1"/>
  <c r="F1027" i="1"/>
  <c r="F1028" i="1"/>
  <c r="F1031" i="1"/>
  <c r="F1032" i="1"/>
  <c r="F1099" i="1"/>
  <c r="K214" i="27" s="1"/>
  <c r="F1102" i="1"/>
  <c r="K215" i="27" s="1"/>
  <c r="F1105" i="1"/>
  <c r="F1106" i="1"/>
  <c r="F1110" i="1"/>
  <c r="K218" i="27" s="1"/>
  <c r="F1136" i="1"/>
  <c r="K222" i="27" s="1"/>
  <c r="C1139" i="1"/>
  <c r="F1139" i="1" s="1"/>
  <c r="F1140" i="1"/>
  <c r="C1141" i="1"/>
  <c r="F1141" i="1" s="1"/>
  <c r="C1146" i="1"/>
  <c r="F1146" i="1" s="1"/>
  <c r="K225" i="27" s="1"/>
  <c r="F1217" i="1"/>
  <c r="K239" i="27" s="1"/>
  <c r="F1220" i="1"/>
  <c r="K240" i="27" s="1"/>
  <c r="F1223" i="1"/>
  <c r="F1224" i="1"/>
  <c r="F1225" i="1"/>
  <c r="F1226" i="1"/>
  <c r="F1230" i="1"/>
  <c r="K243" i="27" s="1"/>
  <c r="F1234" i="1"/>
  <c r="K245" i="27" s="1"/>
  <c r="F1262" i="1"/>
  <c r="K249" i="27" s="1"/>
  <c r="F1265" i="1"/>
  <c r="K250" i="27" s="1"/>
  <c r="F1268" i="1"/>
  <c r="F1269" i="1"/>
  <c r="F1270" i="1"/>
  <c r="F1274" i="1"/>
  <c r="K253" i="27" s="1"/>
  <c r="F1278" i="1"/>
  <c r="K255" i="27" s="1"/>
  <c r="F1303" i="1"/>
  <c r="K259" i="27" s="1"/>
  <c r="C1306" i="1"/>
  <c r="F1306" i="1" s="1"/>
  <c r="K260" i="27" s="1"/>
  <c r="F1311" i="1"/>
  <c r="F1312" i="1"/>
  <c r="F1313" i="1"/>
  <c r="F1315" i="1"/>
  <c r="F1316" i="1"/>
  <c r="C1317" i="1"/>
  <c r="F1317" i="1" s="1"/>
  <c r="F1318" i="1"/>
  <c r="F1342" i="1"/>
  <c r="F1343" i="1"/>
  <c r="C1345" i="1"/>
  <c r="F1345" i="1" s="1"/>
  <c r="F1346" i="1"/>
  <c r="F1350" i="1"/>
  <c r="F1351" i="1"/>
  <c r="F1352" i="1"/>
  <c r="F1409" i="1"/>
  <c r="F1410" i="1"/>
  <c r="C1413" i="1"/>
  <c r="F1413" i="1" s="1"/>
  <c r="K279" i="27" s="1"/>
  <c r="F16" i="1"/>
  <c r="F17" i="1"/>
  <c r="F18" i="1"/>
  <c r="F48" i="1"/>
  <c r="F49" i="1"/>
  <c r="K49" i="1" s="1"/>
  <c r="F50" i="1"/>
  <c r="K50" i="1" s="1"/>
  <c r="F52" i="1"/>
  <c r="K52" i="1" s="1"/>
  <c r="F53" i="1"/>
  <c r="K53" i="1" s="1"/>
  <c r="F54" i="1"/>
  <c r="K54" i="1" s="1"/>
  <c r="F56" i="1"/>
  <c r="K56" i="1" s="1"/>
  <c r="F57" i="1"/>
  <c r="K57" i="1" s="1"/>
  <c r="F58" i="1"/>
  <c r="K58" i="1" s="1"/>
  <c r="F59" i="1"/>
  <c r="K59" i="1" s="1"/>
  <c r="F82" i="1"/>
  <c r="F84" i="1"/>
  <c r="F85" i="1"/>
  <c r="K85" i="1" s="1"/>
  <c r="F86" i="1"/>
  <c r="K86" i="1" s="1"/>
  <c r="F87" i="1"/>
  <c r="F89" i="1"/>
  <c r="F90" i="1"/>
  <c r="K90" i="1" s="1"/>
  <c r="F91" i="1"/>
  <c r="K91" i="1" s="1"/>
  <c r="F300" i="1"/>
  <c r="K100" i="27" s="1"/>
  <c r="F303" i="1"/>
  <c r="F304" i="1"/>
  <c r="F305" i="1"/>
  <c r="F332" i="1"/>
  <c r="F333" i="1"/>
  <c r="F334" i="1"/>
  <c r="F336" i="1"/>
  <c r="F337" i="1"/>
  <c r="F338" i="1"/>
  <c r="F340" i="1"/>
  <c r="F341" i="1"/>
  <c r="F342" i="1"/>
  <c r="F345" i="1"/>
  <c r="F346" i="1"/>
  <c r="F347" i="1"/>
  <c r="F415" i="1"/>
  <c r="F416" i="1"/>
  <c r="C419" i="1"/>
  <c r="F419" i="1" s="1"/>
  <c r="K117" i="27" s="1"/>
  <c r="F422" i="1"/>
  <c r="C423" i="1"/>
  <c r="F423" i="1" s="1"/>
  <c r="C424" i="1"/>
  <c r="F424" i="1" s="1"/>
  <c r="F425" i="1"/>
  <c r="F487" i="1"/>
  <c r="F488" i="1"/>
  <c r="F489" i="1"/>
  <c r="F490" i="1"/>
  <c r="F491" i="1"/>
  <c r="F492" i="1"/>
  <c r="F493" i="1"/>
  <c r="F561" i="1"/>
  <c r="F562" i="1"/>
  <c r="F563" i="1"/>
  <c r="C564" i="1"/>
  <c r="F564" i="1" s="1"/>
  <c r="F566" i="1"/>
  <c r="F567" i="1"/>
  <c r="F568" i="1"/>
  <c r="C569" i="1"/>
  <c r="F569" i="1" s="1"/>
  <c r="F593" i="1"/>
  <c r="F594" i="1"/>
  <c r="F595" i="1"/>
  <c r="F596" i="1"/>
  <c r="F597" i="1"/>
  <c r="C598" i="1"/>
  <c r="F598" i="1" s="1"/>
  <c r="F600" i="1"/>
  <c r="F601" i="1"/>
  <c r="F602" i="1"/>
  <c r="F603" i="1"/>
  <c r="F604" i="1"/>
  <c r="C605" i="1"/>
  <c r="F605" i="1" s="1"/>
  <c r="F873" i="1"/>
  <c r="F868" i="1"/>
  <c r="F869" i="1"/>
  <c r="F865" i="1"/>
  <c r="F866" i="1" s="1"/>
  <c r="K174" i="27" s="1"/>
  <c r="F910" i="1"/>
  <c r="F914" i="1" s="1"/>
  <c r="K182" i="27" s="1"/>
  <c r="F905" i="1"/>
  <c r="F906" i="1"/>
  <c r="F902" i="1"/>
  <c r="F903" i="1" s="1"/>
  <c r="K180" i="27" s="1"/>
  <c r="F947" i="1"/>
  <c r="F948" i="1"/>
  <c r="F949" i="1"/>
  <c r="F950" i="1"/>
  <c r="F942" i="1"/>
  <c r="F943" i="1"/>
  <c r="F939" i="1"/>
  <c r="F940" i="1" s="1"/>
  <c r="K186" i="27" s="1"/>
  <c r="F1174" i="1"/>
  <c r="K229" i="27" s="1"/>
  <c r="F1177" i="1"/>
  <c r="K230" i="27" s="1"/>
  <c r="F1180" i="1"/>
  <c r="F1181" i="1"/>
  <c r="F1182" i="1"/>
  <c r="F1186" i="1"/>
  <c r="K233" i="27" s="1"/>
  <c r="F1189" i="1"/>
  <c r="K235" i="27" s="1"/>
  <c r="F1378" i="1"/>
  <c r="F1379" i="1"/>
  <c r="F1382" i="1"/>
  <c r="K274" i="27" s="1"/>
  <c r="H8" i="25"/>
  <c r="I8" i="25"/>
  <c r="F724" i="1"/>
  <c r="F750" i="1"/>
  <c r="F751" i="1"/>
  <c r="F752" i="1"/>
  <c r="F753" i="1"/>
  <c r="F238" i="1"/>
  <c r="C667" i="1"/>
  <c r="F667" i="1" s="1"/>
  <c r="F668" i="1"/>
  <c r="C669" i="1"/>
  <c r="F669" i="1" s="1"/>
  <c r="F670" i="1"/>
  <c r="F671" i="1"/>
  <c r="C672" i="1"/>
  <c r="F672" i="1" s="1"/>
  <c r="F673" i="1"/>
  <c r="N8" i="25"/>
  <c r="F519" i="1"/>
  <c r="F520" i="1"/>
  <c r="F522" i="1"/>
  <c r="F523" i="1"/>
  <c r="F524" i="1"/>
  <c r="F527" i="1"/>
  <c r="K134" i="27" s="1"/>
  <c r="F531" i="1"/>
  <c r="F532" i="1"/>
  <c r="F533" i="1"/>
  <c r="F535" i="1"/>
  <c r="K137" i="27" s="1"/>
  <c r="F1439" i="1"/>
  <c r="F1440" i="1"/>
  <c r="F1467" i="1"/>
  <c r="Q8" i="25"/>
  <c r="S8" i="25"/>
  <c r="F236" i="1"/>
  <c r="E8" i="25"/>
  <c r="D176" i="21"/>
  <c r="D111" i="21"/>
  <c r="D110" i="21"/>
  <c r="D109" i="21"/>
  <c r="D108" i="21"/>
  <c r="D107" i="21"/>
  <c r="D52" i="21"/>
  <c r="F977" i="1"/>
  <c r="F978" i="1"/>
  <c r="F979" i="1"/>
  <c r="F973" i="1"/>
  <c r="F975" i="1" s="1"/>
  <c r="F970" i="1"/>
  <c r="F971" i="1" s="1"/>
  <c r="D34" i="21"/>
  <c r="D33" i="21"/>
  <c r="D32" i="21"/>
  <c r="D31" i="21"/>
  <c r="D13" i="21"/>
  <c r="J6" i="23"/>
  <c r="H45" i="23"/>
  <c r="H44" i="23"/>
  <c r="F2953" i="3"/>
  <c r="F2954" i="3"/>
  <c r="H43" i="23"/>
  <c r="F2920" i="3"/>
  <c r="H42" i="23"/>
  <c r="H41" i="23"/>
  <c r="H40" i="23"/>
  <c r="H39" i="23"/>
  <c r="H38" i="23"/>
  <c r="H37" i="23"/>
  <c r="F259" i="3"/>
  <c r="F260" i="3"/>
  <c r="F262" i="3"/>
  <c r="F263" i="3"/>
  <c r="F265" i="3"/>
  <c r="C266" i="3"/>
  <c r="F266" i="3" s="1"/>
  <c r="F268" i="3"/>
  <c r="F27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H36" i="23"/>
  <c r="H35" i="23"/>
  <c r="H34" i="23"/>
  <c r="H33" i="23"/>
  <c r="H32" i="23"/>
  <c r="H31" i="23"/>
  <c r="H30" i="23"/>
  <c r="H28" i="23"/>
  <c r="H27" i="23"/>
  <c r="H26" i="23"/>
  <c r="H25" i="23"/>
  <c r="H24" i="23"/>
  <c r="H23" i="23"/>
  <c r="F630" i="1"/>
  <c r="F643" i="1" s="1"/>
  <c r="F780" i="1"/>
  <c r="F781" i="1"/>
  <c r="K781" i="1" s="1"/>
  <c r="F782" i="1"/>
  <c r="K782" i="1" s="1"/>
  <c r="F789" i="1"/>
  <c r="F791" i="1"/>
  <c r="F793" i="1"/>
  <c r="P793" i="1" s="1"/>
  <c r="F798" i="1"/>
  <c r="P798" i="1" s="1"/>
  <c r="F834" i="1"/>
  <c r="F835" i="1"/>
  <c r="F836" i="1"/>
  <c r="F837" i="1"/>
  <c r="F838" i="1"/>
  <c r="F839" i="1"/>
  <c r="F840" i="1"/>
  <c r="F830" i="1"/>
  <c r="F831" i="1"/>
  <c r="F825" i="1"/>
  <c r="F826" i="1"/>
  <c r="F827" i="1"/>
  <c r="F1035" i="5"/>
  <c r="F1036" i="5" s="1"/>
  <c r="F1032" i="5"/>
  <c r="F1033" i="5" s="1"/>
  <c r="F1063" i="5"/>
  <c r="F1064" i="5" s="1"/>
  <c r="F1060" i="5"/>
  <c r="F1061" i="5" s="1"/>
  <c r="F1100" i="5"/>
  <c r="F1102" i="5" s="1"/>
  <c r="F1097" i="5"/>
  <c r="F1098" i="5" s="1"/>
  <c r="F1136" i="5"/>
  <c r="F1138" i="5"/>
  <c r="F1139" i="5"/>
  <c r="F1163" i="5"/>
  <c r="F1193" i="5"/>
  <c r="F1195" i="5"/>
  <c r="F1188" i="5"/>
  <c r="F1189" i="5" s="1"/>
  <c r="F1233" i="5"/>
  <c r="F1234" i="5"/>
  <c r="F1236" i="5"/>
  <c r="F1237" i="5"/>
  <c r="F1238" i="5"/>
  <c r="F1239" i="5"/>
  <c r="F1230" i="5"/>
  <c r="F1231" i="5" s="1"/>
  <c r="F1267" i="5"/>
  <c r="F1269" i="5"/>
  <c r="F1262" i="5"/>
  <c r="F1263" i="5" s="1"/>
  <c r="F1301" i="5"/>
  <c r="F1298" i="5"/>
  <c r="F1299" i="5" s="1"/>
  <c r="F1328" i="5"/>
  <c r="F1325" i="5"/>
  <c r="F1326" i="5" s="1"/>
  <c r="F1354" i="5"/>
  <c r="F1355" i="5" s="1"/>
  <c r="F1351" i="5"/>
  <c r="F1352" i="5" s="1"/>
  <c r="F1379" i="5"/>
  <c r="F1376" i="5"/>
  <c r="F1377" i="5" s="1"/>
  <c r="F1407" i="5"/>
  <c r="F1404" i="5"/>
  <c r="F1405" i="5" s="1"/>
  <c r="F1433" i="5"/>
  <c r="F1434" i="5" s="1"/>
  <c r="F1430" i="5"/>
  <c r="F1431" i="5" s="1"/>
  <c r="F1459" i="5"/>
  <c r="F1456" i="5"/>
  <c r="F1457" i="5" s="1"/>
  <c r="F1488" i="5"/>
  <c r="F1484" i="5"/>
  <c r="F1485" i="5" s="1"/>
  <c r="F1517" i="5"/>
  <c r="F1519" i="5"/>
  <c r="F1520" i="5"/>
  <c r="F1544" i="5"/>
  <c r="F1545" i="5"/>
  <c r="F1546" i="5"/>
  <c r="F1542" i="5"/>
  <c r="F1572" i="5"/>
  <c r="F1573" i="5" s="1"/>
  <c r="F1570" i="5"/>
  <c r="L176" i="21"/>
  <c r="B19" i="23"/>
  <c r="F13" i="23" s="1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D28" i="22"/>
  <c r="D24" i="22"/>
  <c r="D23" i="22"/>
  <c r="D22" i="22"/>
  <c r="D21" i="22"/>
  <c r="D20" i="22"/>
  <c r="L27" i="22"/>
  <c r="L29" i="22" s="1"/>
  <c r="D27" i="22"/>
  <c r="D19" i="22"/>
  <c r="D18" i="22"/>
  <c r="D17" i="22"/>
  <c r="D16" i="22"/>
  <c r="D15" i="22"/>
  <c r="D14" i="22"/>
  <c r="D13" i="22"/>
  <c r="D12" i="22"/>
  <c r="D11" i="22"/>
  <c r="F1763" i="3"/>
  <c r="F1764" i="3"/>
  <c r="F1765" i="3"/>
  <c r="F1766" i="3"/>
  <c r="F1767" i="3"/>
  <c r="F1758" i="3"/>
  <c r="C1759" i="3"/>
  <c r="F1759" i="3" s="1"/>
  <c r="F1760" i="3"/>
  <c r="F1755" i="3"/>
  <c r="F1756" i="3" s="1"/>
  <c r="K622" i="27" s="1"/>
  <c r="F1798" i="3"/>
  <c r="F1795" i="3"/>
  <c r="F1796" i="3" s="1"/>
  <c r="K628" i="27" s="1"/>
  <c r="F1838" i="3"/>
  <c r="F1839" i="3" s="1"/>
  <c r="K636" i="27" s="1"/>
  <c r="F1834" i="3"/>
  <c r="F1835" i="3" s="1"/>
  <c r="K635" i="27" s="1"/>
  <c r="F1829" i="3"/>
  <c r="F1830" i="3"/>
  <c r="F1826" i="3"/>
  <c r="F1827" i="3" s="1"/>
  <c r="K633" i="27" s="1"/>
  <c r="F1874" i="3"/>
  <c r="F1875" i="3"/>
  <c r="F1876" i="3"/>
  <c r="F1869" i="3"/>
  <c r="C1870" i="3"/>
  <c r="F1870" i="3" s="1"/>
  <c r="F1871" i="3"/>
  <c r="F1866" i="3"/>
  <c r="F1867" i="3" s="1"/>
  <c r="K640" i="27" s="1"/>
  <c r="F1912" i="3"/>
  <c r="F1913" i="3"/>
  <c r="F1914" i="3"/>
  <c r="F1915" i="3"/>
  <c r="F1907" i="3"/>
  <c r="C1908" i="3"/>
  <c r="F1908" i="3" s="1"/>
  <c r="F1909" i="3"/>
  <c r="F1904" i="3"/>
  <c r="F1905" i="3" s="1"/>
  <c r="K646" i="27" s="1"/>
  <c r="F1950" i="3"/>
  <c r="F1951" i="3"/>
  <c r="F1945" i="3"/>
  <c r="F1946" i="3"/>
  <c r="F1942" i="3"/>
  <c r="F1943" i="3" s="1"/>
  <c r="K652" i="27" s="1"/>
  <c r="F1986" i="3"/>
  <c r="F1987" i="3"/>
  <c r="F1988" i="3"/>
  <c r="F1981" i="3"/>
  <c r="F1982" i="3"/>
  <c r="F1983" i="3"/>
  <c r="F1978" i="3"/>
  <c r="F1979" i="3" s="1"/>
  <c r="K658" i="27" s="1"/>
  <c r="F2021" i="3"/>
  <c r="F2022" i="3" s="1"/>
  <c r="K665" i="27" s="1"/>
  <c r="F2018" i="3"/>
  <c r="F2058" i="3"/>
  <c r="F2059" i="3"/>
  <c r="F2060" i="3"/>
  <c r="F2061" i="3"/>
  <c r="F2062" i="3"/>
  <c r="F2063" i="3"/>
  <c r="F2064" i="3"/>
  <c r="F2053" i="3"/>
  <c r="F2054" i="3"/>
  <c r="F2055" i="3"/>
  <c r="F2050" i="3"/>
  <c r="F2051" i="3" s="1"/>
  <c r="K669" i="27" s="1"/>
  <c r="F2099" i="3"/>
  <c r="F2100" i="3"/>
  <c r="F2101" i="3"/>
  <c r="F2102" i="3"/>
  <c r="F2094" i="3"/>
  <c r="C2095" i="3"/>
  <c r="F2095" i="3" s="1"/>
  <c r="F2096" i="3"/>
  <c r="F2091" i="3"/>
  <c r="F2092" i="3" s="1"/>
  <c r="K675" i="27" s="1"/>
  <c r="B11" i="22"/>
  <c r="F514" i="5"/>
  <c r="F519" i="5"/>
  <c r="F524" i="5"/>
  <c r="K524" i="5" s="1"/>
  <c r="F529" i="5"/>
  <c r="K529" i="5" s="1"/>
  <c r="F534" i="5"/>
  <c r="K534" i="5" s="1"/>
  <c r="D134" i="21"/>
  <c r="F230" i="5"/>
  <c r="F231" i="5"/>
  <c r="F232" i="5"/>
  <c r="F233" i="5"/>
  <c r="F235" i="5"/>
  <c r="F236" i="5"/>
  <c r="F237" i="5"/>
  <c r="F239" i="5"/>
  <c r="F241" i="5"/>
  <c r="F242" i="5"/>
  <c r="F243" i="5"/>
  <c r="F244" i="5"/>
  <c r="F247" i="5"/>
  <c r="F248" i="5"/>
  <c r="F251" i="5"/>
  <c r="F252" i="5"/>
  <c r="F253" i="5"/>
  <c r="F254" i="5"/>
  <c r="F255" i="5"/>
  <c r="F256" i="5"/>
  <c r="F257" i="5"/>
  <c r="F258" i="5"/>
  <c r="F259" i="5"/>
  <c r="F260" i="5"/>
  <c r="F261" i="5"/>
  <c r="D127" i="21"/>
  <c r="F198" i="5"/>
  <c r="K867" i="27" s="1"/>
  <c r="F200" i="5"/>
  <c r="K868" i="27" s="1"/>
  <c r="F202" i="5"/>
  <c r="F203" i="5"/>
  <c r="F204" i="5"/>
  <c r="F207" i="5"/>
  <c r="K871" i="27" s="1"/>
  <c r="D126" i="21"/>
  <c r="F163" i="5"/>
  <c r="F165" i="5"/>
  <c r="F167" i="5"/>
  <c r="F168" i="5"/>
  <c r="F169" i="5"/>
  <c r="F171" i="5"/>
  <c r="F174" i="5"/>
  <c r="D125" i="21"/>
  <c r="D118" i="21"/>
  <c r="D116" i="21"/>
  <c r="D72" i="21"/>
  <c r="D71" i="21"/>
  <c r="D69" i="21"/>
  <c r="D68" i="21"/>
  <c r="D30" i="21"/>
  <c r="C712" i="5"/>
  <c r="F712" i="5" s="1"/>
  <c r="C803" i="5"/>
  <c r="F803" i="5" s="1"/>
  <c r="C846" i="5"/>
  <c r="F846" i="5" s="1"/>
  <c r="K846" i="5" s="1"/>
  <c r="D161" i="21"/>
  <c r="D160" i="21"/>
  <c r="D159" i="21"/>
  <c r="D1532" i="5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06" i="21"/>
  <c r="D105" i="21"/>
  <c r="D104" i="21"/>
  <c r="D103" i="21"/>
  <c r="D102" i="21"/>
  <c r="D101" i="21"/>
  <c r="D100" i="21"/>
  <c r="D99" i="21"/>
  <c r="D98" i="21"/>
  <c r="D97" i="21"/>
  <c r="D84" i="21"/>
  <c r="D83" i="21"/>
  <c r="D82" i="21"/>
  <c r="D1642" i="3"/>
  <c r="D86" i="21"/>
  <c r="D85" i="21"/>
  <c r="D96" i="21"/>
  <c r="D95" i="21"/>
  <c r="D94" i="21"/>
  <c r="D93" i="21"/>
  <c r="D92" i="21"/>
  <c r="D91" i="21"/>
  <c r="D90" i="21"/>
  <c r="D89" i="21"/>
  <c r="D88" i="21"/>
  <c r="D87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B164" i="21"/>
  <c r="D142" i="21"/>
  <c r="D141" i="21"/>
  <c r="D140" i="21"/>
  <c r="D139" i="21"/>
  <c r="D138" i="21"/>
  <c r="D137" i="21"/>
  <c r="D136" i="21"/>
  <c r="D135" i="21"/>
  <c r="D133" i="21"/>
  <c r="D132" i="21"/>
  <c r="D131" i="21"/>
  <c r="D130" i="21"/>
  <c r="D129" i="21"/>
  <c r="D128" i="21"/>
  <c r="D124" i="21"/>
  <c r="D123" i="21"/>
  <c r="D122" i="21"/>
  <c r="D121" i="21"/>
  <c r="B121" i="21"/>
  <c r="D119" i="21"/>
  <c r="D117" i="21"/>
  <c r="F3086" i="3"/>
  <c r="F3087" i="3" s="1"/>
  <c r="F3083" i="3"/>
  <c r="F3082" i="3"/>
  <c r="F3081" i="3"/>
  <c r="D115" i="21"/>
  <c r="D114" i="21"/>
  <c r="D113" i="21"/>
  <c r="D112" i="21"/>
  <c r="D81" i="21"/>
  <c r="D80" i="21"/>
  <c r="D79" i="21"/>
  <c r="D78" i="21"/>
  <c r="D77" i="21"/>
  <c r="D76" i="21"/>
  <c r="D75" i="21"/>
  <c r="D74" i="21"/>
  <c r="D73" i="21"/>
  <c r="D70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1" i="21"/>
  <c r="D49" i="21"/>
  <c r="D48" i="21"/>
  <c r="B48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2" i="21"/>
  <c r="B12" i="21"/>
  <c r="F234" i="3"/>
  <c r="K863" i="27"/>
  <c r="F135" i="5"/>
  <c r="K861" i="27" s="1"/>
  <c r="F133" i="5"/>
  <c r="K860" i="27" s="1"/>
  <c r="F131" i="5"/>
  <c r="F130" i="5"/>
  <c r="F129" i="5"/>
  <c r="F128" i="5"/>
  <c r="F125" i="5"/>
  <c r="F742" i="5"/>
  <c r="F487" i="5"/>
  <c r="F465" i="5"/>
  <c r="F442" i="5"/>
  <c r="F441" i="5"/>
  <c r="F438" i="5"/>
  <c r="K908" i="27" s="1"/>
  <c r="C436" i="5"/>
  <c r="F436" i="5" s="1"/>
  <c r="K907" i="27" s="1"/>
  <c r="F685" i="5"/>
  <c r="F684" i="5"/>
  <c r="F683" i="5"/>
  <c r="F681" i="5"/>
  <c r="F679" i="5"/>
  <c r="F678" i="5"/>
  <c r="F675" i="5"/>
  <c r="F674" i="5"/>
  <c r="F672" i="5"/>
  <c r="F671" i="5"/>
  <c r="F666" i="5"/>
  <c r="K963" i="27" s="1"/>
  <c r="C664" i="5"/>
  <c r="F664" i="5" s="1"/>
  <c r="F663" i="5"/>
  <c r="F660" i="5"/>
  <c r="F659" i="5"/>
  <c r="F657" i="5"/>
  <c r="C656" i="5"/>
  <c r="F656" i="5" s="1"/>
  <c r="F651" i="5"/>
  <c r="K954" i="27" s="1"/>
  <c r="C649" i="5"/>
  <c r="F649" i="5" s="1"/>
  <c r="F648" i="5"/>
  <c r="F645" i="5"/>
  <c r="F644" i="5"/>
  <c r="F642" i="5"/>
  <c r="C641" i="5"/>
  <c r="F641" i="5" s="1"/>
  <c r="F617" i="5"/>
  <c r="K944" i="27" s="1"/>
  <c r="F615" i="5"/>
  <c r="F614" i="5"/>
  <c r="F613" i="5"/>
  <c r="F611" i="5"/>
  <c r="K941" i="27" s="1"/>
  <c r="F608" i="5"/>
  <c r="F607" i="5"/>
  <c r="F606" i="5"/>
  <c r="F605" i="5"/>
  <c r="F604" i="5"/>
  <c r="F603" i="5"/>
  <c r="F601" i="5"/>
  <c r="C600" i="5"/>
  <c r="F600" i="5" s="1"/>
  <c r="F595" i="5"/>
  <c r="K933" i="27" s="1"/>
  <c r="F592" i="5"/>
  <c r="F591" i="5"/>
  <c r="F590" i="5"/>
  <c r="F588" i="5"/>
  <c r="F586" i="5"/>
  <c r="F585" i="5"/>
  <c r="F584" i="5"/>
  <c r="F580" i="5"/>
  <c r="F579" i="5"/>
  <c r="F578" i="5"/>
  <c r="F575" i="5"/>
  <c r="F574" i="5"/>
  <c r="F573" i="5"/>
  <c r="F572" i="5"/>
  <c r="F570" i="5"/>
  <c r="K926" i="27" s="1"/>
  <c r="F568" i="5"/>
  <c r="F567" i="5"/>
  <c r="F566" i="5"/>
  <c r="F565" i="5"/>
  <c r="F564" i="5"/>
  <c r="F563" i="5"/>
  <c r="F561" i="5"/>
  <c r="F560" i="5"/>
  <c r="F559" i="5"/>
  <c r="F558" i="5"/>
  <c r="F721" i="5"/>
  <c r="K983" i="27" s="1"/>
  <c r="F719" i="5"/>
  <c r="K981" i="27" s="1"/>
  <c r="F718" i="5"/>
  <c r="F717" i="5"/>
  <c r="F716" i="5"/>
  <c r="K979" i="27" s="1"/>
  <c r="F714" i="5"/>
  <c r="K978" i="27" s="1"/>
  <c r="F713" i="5"/>
  <c r="F711" i="5"/>
  <c r="F710" i="5"/>
  <c r="F855" i="5"/>
  <c r="F853" i="5"/>
  <c r="F850" i="5"/>
  <c r="F848" i="5"/>
  <c r="F845" i="5"/>
  <c r="K845" i="5" s="1"/>
  <c r="F842" i="5"/>
  <c r="K842" i="5" s="1"/>
  <c r="F841" i="5"/>
  <c r="K841" i="5" s="1"/>
  <c r="F840" i="5"/>
  <c r="K840" i="5" s="1"/>
  <c r="F839" i="5"/>
  <c r="K839" i="5" s="1"/>
  <c r="F838" i="5"/>
  <c r="K838" i="5" s="1"/>
  <c r="F837" i="5"/>
  <c r="K837" i="5" s="1"/>
  <c r="F814" i="5"/>
  <c r="K1005" i="27" s="1"/>
  <c r="F812" i="5"/>
  <c r="K1003" i="27" s="1"/>
  <c r="F809" i="5"/>
  <c r="F808" i="5"/>
  <c r="F807" i="5"/>
  <c r="F805" i="5"/>
  <c r="K1000" i="27" s="1"/>
  <c r="F802" i="5"/>
  <c r="F778" i="5"/>
  <c r="K995" i="27" s="1"/>
  <c r="F775" i="5"/>
  <c r="F774" i="5"/>
  <c r="F773" i="5"/>
  <c r="F771" i="5"/>
  <c r="K992" i="27" s="1"/>
  <c r="F769" i="5"/>
  <c r="K991" i="27" s="1"/>
  <c r="F767" i="5"/>
  <c r="F766" i="5"/>
  <c r="F340" i="5"/>
  <c r="K894" i="27" s="1"/>
  <c r="F338" i="5"/>
  <c r="K892" i="27" s="1"/>
  <c r="F336" i="5"/>
  <c r="F335" i="5"/>
  <c r="F334" i="5"/>
  <c r="F331" i="5"/>
  <c r="F330" i="5"/>
  <c r="F328" i="5"/>
  <c r="F327" i="5"/>
  <c r="F322" i="5"/>
  <c r="F321" i="5"/>
  <c r="F320" i="5"/>
  <c r="F318" i="5"/>
  <c r="F316" i="5"/>
  <c r="F315" i="5"/>
  <c r="F314" i="5"/>
  <c r="F309" i="5"/>
  <c r="K882" i="27" s="1"/>
  <c r="F306" i="5"/>
  <c r="F305" i="5"/>
  <c r="F304" i="5"/>
  <c r="F301" i="5"/>
  <c r="F300" i="5"/>
  <c r="F299" i="5"/>
  <c r="F298" i="5"/>
  <c r="F296" i="5"/>
  <c r="K877" i="27" s="1"/>
  <c r="F294" i="5"/>
  <c r="F292" i="5"/>
  <c r="F290" i="5"/>
  <c r="F288" i="5"/>
  <c r="F285" i="5"/>
  <c r="F284" i="5"/>
  <c r="F412" i="5"/>
  <c r="F411" i="5"/>
  <c r="F410" i="5"/>
  <c r="F406" i="5"/>
  <c r="F405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5" i="5"/>
  <c r="K898" i="27" s="1"/>
  <c r="F895" i="5"/>
  <c r="F892" i="5"/>
  <c r="F888" i="5"/>
  <c r="F885" i="5"/>
  <c r="F882" i="5"/>
  <c r="F881" i="5"/>
  <c r="F880" i="5"/>
  <c r="D53" i="21"/>
  <c r="D50" i="21"/>
  <c r="F87" i="5"/>
  <c r="F88" i="5"/>
  <c r="T88" i="5" s="1"/>
  <c r="F101" i="5"/>
  <c r="T101" i="5" s="1"/>
  <c r="F100" i="5"/>
  <c r="T100" i="5" s="1"/>
  <c r="F95" i="5"/>
  <c r="F93" i="5"/>
  <c r="T93" i="5" s="1"/>
  <c r="F92" i="5"/>
  <c r="F58" i="8"/>
  <c r="C54" i="15"/>
  <c r="D29" i="16"/>
  <c r="F25" i="18"/>
  <c r="D25" i="18"/>
  <c r="C25" i="18"/>
  <c r="D24" i="18"/>
  <c r="G24" i="18"/>
  <c r="C24" i="18"/>
  <c r="D23" i="18"/>
  <c r="E23" i="18" s="1"/>
  <c r="C23" i="18"/>
  <c r="D22" i="18"/>
  <c r="G22" i="18" s="1"/>
  <c r="C22" i="18"/>
  <c r="D21" i="18"/>
  <c r="G21" i="18" s="1"/>
  <c r="C21" i="18"/>
  <c r="E20" i="18"/>
  <c r="D20" i="18"/>
  <c r="C20" i="18"/>
  <c r="D19" i="18"/>
  <c r="D18" i="18"/>
  <c r="D17" i="18"/>
  <c r="F19" i="18"/>
  <c r="C19" i="18"/>
  <c r="E18" i="18"/>
  <c r="C18" i="18"/>
  <c r="E17" i="18"/>
  <c r="C17" i="18"/>
  <c r="E16" i="18"/>
  <c r="D16" i="18"/>
  <c r="C16" i="18"/>
  <c r="F15" i="18"/>
  <c r="D15" i="18"/>
  <c r="C15" i="18"/>
  <c r="F14" i="18"/>
  <c r="D14" i="18"/>
  <c r="C14" i="18"/>
  <c r="F13" i="18"/>
  <c r="F26" i="18" s="1"/>
  <c r="D13" i="18"/>
  <c r="C13" i="18"/>
  <c r="F12" i="18"/>
  <c r="D12" i="18"/>
  <c r="C12" i="18"/>
  <c r="F8" i="18"/>
  <c r="F10" i="18"/>
  <c r="E11" i="18"/>
  <c r="D11" i="18"/>
  <c r="C11" i="18"/>
  <c r="D10" i="18"/>
  <c r="C10" i="18"/>
  <c r="D9" i="18"/>
  <c r="E9" i="18"/>
  <c r="C9" i="18"/>
  <c r="D8" i="18"/>
  <c r="C8" i="18"/>
  <c r="E7" i="18"/>
  <c r="D7" i="18"/>
  <c r="C7" i="18"/>
  <c r="F6" i="18"/>
  <c r="D6" i="18"/>
  <c r="D26" i="18" s="1"/>
  <c r="C6" i="18"/>
  <c r="C230" i="11"/>
  <c r="C34" i="11"/>
  <c r="G138" i="8"/>
  <c r="F138" i="8"/>
  <c r="D138" i="8"/>
  <c r="C126" i="15"/>
  <c r="H58" i="16"/>
  <c r="G58" i="16"/>
  <c r="F58" i="16"/>
  <c r="D58" i="16"/>
  <c r="C122" i="11"/>
  <c r="D108" i="8"/>
  <c r="C100" i="15"/>
  <c r="J127" i="15"/>
  <c r="I127" i="15"/>
  <c r="H127" i="15"/>
  <c r="L18" i="15"/>
  <c r="F14" i="15"/>
  <c r="D14" i="15"/>
  <c r="D127" i="15" s="1"/>
  <c r="K17" i="15"/>
  <c r="K18" i="15"/>
  <c r="K19" i="15"/>
  <c r="M19" i="15" s="1"/>
  <c r="K20" i="15"/>
  <c r="M20" i="15" s="1"/>
  <c r="L20" i="15"/>
  <c r="K21" i="15"/>
  <c r="M21" i="15" s="1"/>
  <c r="K22" i="15"/>
  <c r="K23" i="15"/>
  <c r="K34" i="15"/>
  <c r="M34" i="15"/>
  <c r="K35" i="15"/>
  <c r="M35" i="15" s="1"/>
  <c r="K36" i="15"/>
  <c r="M36" i="15" s="1"/>
  <c r="K37" i="15"/>
  <c r="M37" i="15" s="1"/>
  <c r="K38" i="15"/>
  <c r="M38" i="15"/>
  <c r="K39" i="15"/>
  <c r="M39" i="15" s="1"/>
  <c r="K40" i="15"/>
  <c r="M40" i="15" s="1"/>
  <c r="K41" i="15"/>
  <c r="M41" i="15" s="1"/>
  <c r="K44" i="15"/>
  <c r="K48" i="15"/>
  <c r="M48" i="15" s="1"/>
  <c r="K49" i="15"/>
  <c r="M49" i="15"/>
  <c r="K50" i="15"/>
  <c r="M50" i="15" s="1"/>
  <c r="K51" i="15"/>
  <c r="M51" i="15" s="1"/>
  <c r="K52" i="15"/>
  <c r="M52" i="15" s="1"/>
  <c r="K53" i="15"/>
  <c r="M53" i="15"/>
  <c r="K55" i="15"/>
  <c r="M55" i="15" s="1"/>
  <c r="K56" i="15"/>
  <c r="M56" i="15" s="1"/>
  <c r="K57" i="15"/>
  <c r="M57" i="15" s="1"/>
  <c r="K58" i="15"/>
  <c r="M58" i="15"/>
  <c r="K59" i="15"/>
  <c r="M59" i="15" s="1"/>
  <c r="K60" i="15"/>
  <c r="M60" i="15" s="1"/>
  <c r="K61" i="15"/>
  <c r="M61" i="15" s="1"/>
  <c r="K62" i="15"/>
  <c r="M62" i="15"/>
  <c r="K63" i="15"/>
  <c r="M63" i="15" s="1"/>
  <c r="K89" i="15"/>
  <c r="M89" i="15" s="1"/>
  <c r="K90" i="15"/>
  <c r="M90" i="15" s="1"/>
  <c r="K91" i="15"/>
  <c r="M91" i="15"/>
  <c r="K92" i="15"/>
  <c r="M92" i="15" s="1"/>
  <c r="K93" i="15"/>
  <c r="M93" i="15" s="1"/>
  <c r="K94" i="15"/>
  <c r="M94" i="15" s="1"/>
  <c r="K95" i="15"/>
  <c r="M95" i="15"/>
  <c r="K96" i="15"/>
  <c r="M96" i="15" s="1"/>
  <c r="K97" i="15"/>
  <c r="M97" i="15" s="1"/>
  <c r="K124" i="15"/>
  <c r="M124" i="15" s="1"/>
  <c r="K125" i="15"/>
  <c r="M125" i="15"/>
  <c r="G46" i="16"/>
  <c r="L57" i="16"/>
  <c r="H57" i="16"/>
  <c r="G57" i="16"/>
  <c r="D57" i="16"/>
  <c r="L56" i="16"/>
  <c r="H56" i="16"/>
  <c r="G56" i="16"/>
  <c r="D56" i="16"/>
  <c r="L55" i="16"/>
  <c r="H55" i="16"/>
  <c r="G55" i="16"/>
  <c r="D55" i="16"/>
  <c r="L54" i="16"/>
  <c r="H54" i="16"/>
  <c r="G54" i="16"/>
  <c r="D54" i="16"/>
  <c r="L53" i="16"/>
  <c r="H53" i="16"/>
  <c r="G53" i="16"/>
  <c r="D53" i="16"/>
  <c r="L52" i="16"/>
  <c r="H52" i="16"/>
  <c r="G52" i="16"/>
  <c r="D52" i="16"/>
  <c r="L51" i="16"/>
  <c r="H51" i="16"/>
  <c r="G51" i="16"/>
  <c r="D51" i="16"/>
  <c r="D46" i="16"/>
  <c r="L41" i="16"/>
  <c r="D41" i="16"/>
  <c r="L40" i="16"/>
  <c r="D40" i="16"/>
  <c r="L39" i="16"/>
  <c r="D39" i="16"/>
  <c r="L38" i="16"/>
  <c r="D38" i="16"/>
  <c r="L37" i="16"/>
  <c r="D37" i="16"/>
  <c r="L36" i="16"/>
  <c r="D36" i="16"/>
  <c r="L35" i="16"/>
  <c r="D35" i="16"/>
  <c r="L34" i="16"/>
  <c r="D34" i="16"/>
  <c r="L33" i="16"/>
  <c r="D33" i="16"/>
  <c r="L32" i="16"/>
  <c r="D32" i="16"/>
  <c r="L31" i="16"/>
  <c r="D31" i="16"/>
  <c r="L30" i="16"/>
  <c r="D30" i="16"/>
  <c r="L28" i="16"/>
  <c r="D28" i="16"/>
  <c r="L27" i="16"/>
  <c r="D27" i="16"/>
  <c r="L26" i="16"/>
  <c r="D26" i="16"/>
  <c r="L25" i="16"/>
  <c r="D25" i="16"/>
  <c r="L24" i="16"/>
  <c r="D24" i="16"/>
  <c r="L23" i="16"/>
  <c r="D23" i="16"/>
  <c r="L22" i="16"/>
  <c r="D22" i="16"/>
  <c r="L21" i="16"/>
  <c r="D21" i="16"/>
  <c r="L20" i="16"/>
  <c r="D20" i="16"/>
  <c r="L14" i="16"/>
  <c r="D14" i="16"/>
  <c r="L13" i="16"/>
  <c r="D13" i="16"/>
  <c r="L12" i="16"/>
  <c r="D12" i="16"/>
  <c r="K104" i="15"/>
  <c r="M104" i="15" s="1"/>
  <c r="L23" i="15"/>
  <c r="M23" i="15" s="1"/>
  <c r="L22" i="15"/>
  <c r="L21" i="15"/>
  <c r="L19" i="15"/>
  <c r="L17" i="15"/>
  <c r="F15" i="15"/>
  <c r="K15" i="15" s="1"/>
  <c r="M15" i="15" s="1"/>
  <c r="F13" i="15"/>
  <c r="K13" i="15" s="1"/>
  <c r="M13" i="15" s="1"/>
  <c r="L31" i="15"/>
  <c r="K31" i="15"/>
  <c r="M31" i="15" s="1"/>
  <c r="K47" i="15"/>
  <c r="M47" i="15"/>
  <c r="K75" i="15"/>
  <c r="M75" i="15"/>
  <c r="K101" i="15"/>
  <c r="M101" i="15"/>
  <c r="K118" i="15"/>
  <c r="M118" i="15"/>
  <c r="L24" i="15"/>
  <c r="K24" i="15"/>
  <c r="L28" i="15"/>
  <c r="K28" i="15"/>
  <c r="M28" i="15" s="1"/>
  <c r="L32" i="15"/>
  <c r="K32" i="15"/>
  <c r="K64" i="15"/>
  <c r="M64" i="15"/>
  <c r="K68" i="15"/>
  <c r="M68" i="15"/>
  <c r="K72" i="15"/>
  <c r="M72" i="15"/>
  <c r="K76" i="15"/>
  <c r="M76" i="15"/>
  <c r="K80" i="15"/>
  <c r="M80" i="15"/>
  <c r="K84" i="15"/>
  <c r="K88" i="15"/>
  <c r="M88" i="15" s="1"/>
  <c r="K103" i="15"/>
  <c r="M103" i="15" s="1"/>
  <c r="K107" i="15"/>
  <c r="M107" i="15" s="1"/>
  <c r="K111" i="15"/>
  <c r="M111" i="15" s="1"/>
  <c r="K115" i="15"/>
  <c r="M115" i="15" s="1"/>
  <c r="K119" i="15"/>
  <c r="M119" i="15" s="1"/>
  <c r="K123" i="15"/>
  <c r="M123" i="15" s="1"/>
  <c r="K43" i="15"/>
  <c r="M43" i="15" s="1"/>
  <c r="K71" i="15"/>
  <c r="M71" i="15" s="1"/>
  <c r="K83" i="15"/>
  <c r="M83" i="15" s="1"/>
  <c r="K87" i="15"/>
  <c r="M87" i="15" s="1"/>
  <c r="K106" i="15"/>
  <c r="M106" i="15"/>
  <c r="K110" i="15"/>
  <c r="M110" i="15"/>
  <c r="K114" i="15"/>
  <c r="M114" i="15"/>
  <c r="K122" i="15"/>
  <c r="M122" i="15"/>
  <c r="L25" i="15"/>
  <c r="K25" i="15"/>
  <c r="M25" i="15" s="1"/>
  <c r="L33" i="15"/>
  <c r="K33" i="15"/>
  <c r="M33" i="15" s="1"/>
  <c r="K45" i="15"/>
  <c r="M45" i="15" s="1"/>
  <c r="K65" i="15"/>
  <c r="M65" i="15" s="1"/>
  <c r="K69" i="15"/>
  <c r="M69" i="15" s="1"/>
  <c r="K73" i="15"/>
  <c r="M73" i="15" s="1"/>
  <c r="K77" i="15"/>
  <c r="M77" i="15" s="1"/>
  <c r="K81" i="15"/>
  <c r="M81" i="15" s="1"/>
  <c r="K85" i="15"/>
  <c r="M85" i="15" s="1"/>
  <c r="K98" i="15"/>
  <c r="M98" i="15" s="1"/>
  <c r="K108" i="15"/>
  <c r="M108" i="15" s="1"/>
  <c r="K112" i="15"/>
  <c r="M112" i="15" s="1"/>
  <c r="K116" i="15"/>
  <c r="M116" i="15" s="1"/>
  <c r="K120" i="15"/>
  <c r="M120" i="15" s="1"/>
  <c r="L27" i="15"/>
  <c r="K27" i="15"/>
  <c r="K67" i="15"/>
  <c r="M67" i="15" s="1"/>
  <c r="K79" i="15"/>
  <c r="M79" i="15" s="1"/>
  <c r="L29" i="15"/>
  <c r="K29" i="15"/>
  <c r="L26" i="15"/>
  <c r="K26" i="15"/>
  <c r="L30" i="15"/>
  <c r="K30" i="15"/>
  <c r="M30" i="15" s="1"/>
  <c r="K42" i="15"/>
  <c r="M42" i="15"/>
  <c r="K46" i="15"/>
  <c r="M46" i="15"/>
  <c r="K66" i="15"/>
  <c r="M66" i="15"/>
  <c r="K70" i="15"/>
  <c r="M70" i="15"/>
  <c r="K74" i="15"/>
  <c r="M74" i="15"/>
  <c r="K78" i="15"/>
  <c r="M78" i="15"/>
  <c r="K82" i="15"/>
  <c r="M82" i="15"/>
  <c r="K86" i="15"/>
  <c r="K99" i="15"/>
  <c r="M99" i="15" s="1"/>
  <c r="K105" i="15"/>
  <c r="M105" i="15" s="1"/>
  <c r="K109" i="15"/>
  <c r="M109" i="15" s="1"/>
  <c r="K113" i="15"/>
  <c r="M113" i="15" s="1"/>
  <c r="K117" i="15"/>
  <c r="M117" i="15" s="1"/>
  <c r="K121" i="15"/>
  <c r="M121" i="15" s="1"/>
  <c r="M44" i="15"/>
  <c r="M86" i="15"/>
  <c r="M18" i="15"/>
  <c r="M84" i="15"/>
  <c r="K21" i="8"/>
  <c r="D21" i="8"/>
  <c r="D128" i="8"/>
  <c r="H137" i="8"/>
  <c r="G137" i="8"/>
  <c r="H136" i="8"/>
  <c r="G136" i="8"/>
  <c r="H135" i="8"/>
  <c r="G135" i="8"/>
  <c r="H134" i="8"/>
  <c r="H133" i="8"/>
  <c r="H126" i="8"/>
  <c r="H127" i="8"/>
  <c r="H128" i="8"/>
  <c r="H129" i="8"/>
  <c r="H130" i="8"/>
  <c r="H131" i="8"/>
  <c r="H132" i="8"/>
  <c r="H125" i="8"/>
  <c r="G134" i="8"/>
  <c r="G133" i="8"/>
  <c r="G126" i="8"/>
  <c r="G127" i="8"/>
  <c r="G128" i="8"/>
  <c r="G129" i="8"/>
  <c r="G130" i="8"/>
  <c r="G131" i="8"/>
  <c r="G132" i="8"/>
  <c r="G125" i="8"/>
  <c r="D134" i="8"/>
  <c r="D133" i="8"/>
  <c r="D132" i="8"/>
  <c r="D131" i="8"/>
  <c r="D130" i="8"/>
  <c r="D129" i="8"/>
  <c r="D127" i="8"/>
  <c r="D126" i="8"/>
  <c r="D125" i="8"/>
  <c r="D120" i="8"/>
  <c r="D119" i="8"/>
  <c r="D118" i="8"/>
  <c r="D117" i="8"/>
  <c r="D116" i="8"/>
  <c r="D115" i="8"/>
  <c r="D114" i="8"/>
  <c r="D113" i="8"/>
  <c r="D112" i="8"/>
  <c r="D111" i="8"/>
  <c r="D109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7" i="8"/>
  <c r="D56" i="8"/>
  <c r="D55" i="8"/>
  <c r="D54" i="8"/>
  <c r="D53" i="8"/>
  <c r="D52" i="8"/>
  <c r="D51" i="8"/>
  <c r="D50" i="8"/>
  <c r="D49" i="8"/>
  <c r="D48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0" i="8"/>
  <c r="D19" i="8"/>
  <c r="D18" i="8"/>
  <c r="D17" i="8"/>
  <c r="D16" i="8"/>
  <c r="D15" i="8"/>
  <c r="D14" i="8"/>
  <c r="D13" i="8"/>
  <c r="D12" i="8"/>
  <c r="D137" i="8"/>
  <c r="L134" i="8"/>
  <c r="I17" i="9"/>
  <c r="I12" i="9"/>
  <c r="I21" i="9"/>
  <c r="L127" i="8"/>
  <c r="D136" i="8"/>
  <c r="D135" i="8"/>
  <c r="L135" i="8"/>
  <c r="L54" i="8"/>
  <c r="L126" i="8"/>
  <c r="D89" i="8"/>
  <c r="D88" i="8"/>
  <c r="D87" i="8"/>
  <c r="D86" i="8"/>
  <c r="D85" i="8"/>
  <c r="D84" i="8"/>
  <c r="D83" i="8"/>
  <c r="D82" i="8"/>
  <c r="K16" i="15"/>
  <c r="M16" i="15" s="1"/>
  <c r="M22" i="15"/>
  <c r="M29" i="15"/>
  <c r="M24" i="15"/>
  <c r="M17" i="15"/>
  <c r="L23" i="8"/>
  <c r="L133" i="8"/>
  <c r="L136" i="8"/>
  <c r="L132" i="8"/>
  <c r="E126" i="15"/>
  <c r="L58" i="16"/>
  <c r="L59" i="16" s="1"/>
  <c r="L137" i="8"/>
  <c r="L138" i="8"/>
  <c r="L98" i="8"/>
  <c r="L103" i="8"/>
  <c r="L112" i="8"/>
  <c r="L115" i="8"/>
  <c r="L116" i="8"/>
  <c r="G102" i="15"/>
  <c r="L102" i="8"/>
  <c r="L104" i="8"/>
  <c r="L97" i="8"/>
  <c r="L109" i="8"/>
  <c r="L119" i="8"/>
  <c r="L106" i="8"/>
  <c r="L100" i="8"/>
  <c r="L107" i="8"/>
  <c r="L99" i="8"/>
  <c r="L96" i="8"/>
  <c r="L46" i="16"/>
  <c r="L47" i="16"/>
  <c r="L94" i="8"/>
  <c r="L121" i="8" s="1"/>
  <c r="L95" i="8"/>
  <c r="L111" i="8"/>
  <c r="L86" i="8"/>
  <c r="D58" i="8"/>
  <c r="C89" i="11" s="1"/>
  <c r="D110" i="8"/>
  <c r="C301" i="11"/>
  <c r="C369" i="11"/>
  <c r="C102" i="15"/>
  <c r="C124" i="11"/>
  <c r="L72" i="8"/>
  <c r="L49" i="8"/>
  <c r="L67" i="8"/>
  <c r="L57" i="8"/>
  <c r="L83" i="8"/>
  <c r="L64" i="8"/>
  <c r="L73" i="8"/>
  <c r="L55" i="8"/>
  <c r="L59" i="8"/>
  <c r="L77" i="8"/>
  <c r="L56" i="8"/>
  <c r="L85" i="8"/>
  <c r="L82" i="8"/>
  <c r="L53" i="8"/>
  <c r="L68" i="8"/>
  <c r="L51" i="8"/>
  <c r="L61" i="8"/>
  <c r="L62" i="8"/>
  <c r="L63" i="8"/>
  <c r="L65" i="8"/>
  <c r="L66" i="8"/>
  <c r="L74" i="8"/>
  <c r="L75" i="8"/>
  <c r="L76" i="8"/>
  <c r="L52" i="8"/>
  <c r="L69" i="8"/>
  <c r="L60" i="8"/>
  <c r="L81" i="8"/>
  <c r="L70" i="8"/>
  <c r="L128" i="8"/>
  <c r="L125" i="8"/>
  <c r="L139" i="8"/>
  <c r="L130" i="8"/>
  <c r="L131" i="8"/>
  <c r="L129" i="8"/>
  <c r="L80" i="8"/>
  <c r="L13" i="8"/>
  <c r="L14" i="8"/>
  <c r="G100" i="15"/>
  <c r="K100" i="15" s="1"/>
  <c r="L118" i="8"/>
  <c r="L101" i="8"/>
  <c r="L105" i="8"/>
  <c r="L113" i="8"/>
  <c r="L117" i="8"/>
  <c r="L114" i="8"/>
  <c r="L110" i="8"/>
  <c r="L120" i="8"/>
  <c r="L108" i="8"/>
  <c r="L87" i="8"/>
  <c r="L84" i="8"/>
  <c r="L88" i="8"/>
  <c r="L78" i="8"/>
  <c r="L71" i="8"/>
  <c r="E54" i="15"/>
  <c r="E127" i="15" s="1"/>
  <c r="L79" i="8"/>
  <c r="L48" i="8"/>
  <c r="L90" i="8" s="1"/>
  <c r="L50" i="8"/>
  <c r="L58" i="8"/>
  <c r="L29" i="16"/>
  <c r="L29" i="8"/>
  <c r="L21" i="8"/>
  <c r="L32" i="8"/>
  <c r="L26" i="8"/>
  <c r="L12" i="8"/>
  <c r="L44" i="8" s="1"/>
  <c r="L28" i="8"/>
  <c r="L89" i="8"/>
  <c r="L27" i="8"/>
  <c r="L30" i="8"/>
  <c r="D128" i="15"/>
  <c r="K128" i="15" s="1"/>
  <c r="K1016" i="27" l="1"/>
  <c r="K855" i="5"/>
  <c r="K1011" i="27"/>
  <c r="K848" i="5"/>
  <c r="K1012" i="27"/>
  <c r="K850" i="5"/>
  <c r="K1014" i="27"/>
  <c r="K853" i="5"/>
  <c r="C3" i="31"/>
  <c r="K999" i="27"/>
  <c r="F801" i="1"/>
  <c r="F1491" i="5"/>
  <c r="L144" i="21"/>
  <c r="C23" i="31"/>
  <c r="C12" i="31"/>
  <c r="C15" i="31"/>
  <c r="K858" i="27"/>
  <c r="F141" i="5"/>
  <c r="T141" i="5" s="1"/>
  <c r="K916" i="27"/>
  <c r="K914" i="27" s="1"/>
  <c r="I254" i="28" s="1"/>
  <c r="M26" i="15"/>
  <c r="F276" i="1"/>
  <c r="E26" i="18"/>
  <c r="I26" i="9"/>
  <c r="M27" i="15"/>
  <c r="M32" i="15"/>
  <c r="F195" i="3"/>
  <c r="K101" i="28" s="1"/>
  <c r="K309" i="27"/>
  <c r="Q138" i="3"/>
  <c r="K1095" i="27"/>
  <c r="I306" i="28" s="1"/>
  <c r="I307" i="28" s="1"/>
  <c r="K1103" i="27"/>
  <c r="I308" i="28" s="1"/>
  <c r="I309" i="28" s="1"/>
  <c r="K1130" i="27"/>
  <c r="I314" i="28" s="1"/>
  <c r="I315" i="28" s="1"/>
  <c r="K1155" i="27"/>
  <c r="K550" i="27"/>
  <c r="K305" i="27"/>
  <c r="K273" i="27"/>
  <c r="K270" i="27" s="1"/>
  <c r="I89" i="28" s="1"/>
  <c r="I90" i="28" s="1"/>
  <c r="K278" i="27"/>
  <c r="K275" i="27" s="1"/>
  <c r="I91" i="28" s="1"/>
  <c r="I92" i="28" s="1"/>
  <c r="K678" i="27"/>
  <c r="I191" i="28" s="1"/>
  <c r="I192" i="28" s="1"/>
  <c r="K608" i="27"/>
  <c r="I167" i="28" s="1"/>
  <c r="I168" i="28" s="1"/>
  <c r="K813" i="27"/>
  <c r="K266" i="27"/>
  <c r="K216" i="27"/>
  <c r="K211" i="27" s="1"/>
  <c r="I75" i="28" s="1"/>
  <c r="I76" i="28" s="1"/>
  <c r="L25" i="21"/>
  <c r="K643" i="1"/>
  <c r="K287" i="27"/>
  <c r="K284" i="27" s="1"/>
  <c r="I95" i="28" s="1"/>
  <c r="I96" i="28" s="1"/>
  <c r="K231" i="27"/>
  <c r="K226" i="27" s="1"/>
  <c r="I79" i="28" s="1"/>
  <c r="I80" i="28" s="1"/>
  <c r="K118" i="27"/>
  <c r="K267" i="27"/>
  <c r="K251" i="27"/>
  <c r="K246" i="27" s="1"/>
  <c r="I83" i="28" s="1"/>
  <c r="K241" i="27"/>
  <c r="K236" i="27" s="1"/>
  <c r="I81" i="28" s="1"/>
  <c r="I82" i="28" s="1"/>
  <c r="K201" i="27"/>
  <c r="K124" i="27"/>
  <c r="K119" i="27" s="1"/>
  <c r="I45" i="28" s="1"/>
  <c r="I46" i="28" s="1"/>
  <c r="K112" i="27"/>
  <c r="K262" i="27"/>
  <c r="K256" i="27" s="1"/>
  <c r="I85" i="28" s="1"/>
  <c r="I86" i="28" s="1"/>
  <c r="K283" i="27"/>
  <c r="K280" i="27" s="1"/>
  <c r="I93" i="28" s="1"/>
  <c r="I94" i="28" s="1"/>
  <c r="K269" i="27"/>
  <c r="K223" i="27"/>
  <c r="K219" i="27" s="1"/>
  <c r="I77" i="28" s="1"/>
  <c r="I78" i="28" s="1"/>
  <c r="K132" i="27"/>
  <c r="I29" i="25"/>
  <c r="G21" i="25"/>
  <c r="J30" i="25"/>
  <c r="F18" i="26"/>
  <c r="J18" i="26" s="1"/>
  <c r="J2" i="26" s="1"/>
  <c r="E12" i="25" s="1"/>
  <c r="X12" i="25" s="1"/>
  <c r="K1211" i="27"/>
  <c r="K1208" i="27" s="1"/>
  <c r="F2344" i="3"/>
  <c r="K710" i="27" s="1"/>
  <c r="K591" i="27"/>
  <c r="I161" i="28" s="1"/>
  <c r="I162" i="28" s="1"/>
  <c r="T2920" i="3"/>
  <c r="K787" i="27"/>
  <c r="T2824" i="3"/>
  <c r="K768" i="27"/>
  <c r="K823" i="27"/>
  <c r="L3016" i="3"/>
  <c r="K808" i="27"/>
  <c r="K2923" i="3"/>
  <c r="K789" i="27"/>
  <c r="K2878" i="3"/>
  <c r="K777" i="27"/>
  <c r="K2841" i="3"/>
  <c r="K772" i="27"/>
  <c r="K2798" i="3"/>
  <c r="K764" i="27"/>
  <c r="K417" i="27"/>
  <c r="K414" i="27"/>
  <c r="F302" i="3"/>
  <c r="K328" i="27" s="1"/>
  <c r="F1800" i="3"/>
  <c r="F1801" i="3" s="1"/>
  <c r="S1801" i="3" s="1"/>
  <c r="K629" i="27"/>
  <c r="K625" i="27" s="1"/>
  <c r="I173" i="28" s="1"/>
  <c r="I174" i="28" s="1"/>
  <c r="T3155" i="3"/>
  <c r="K828" i="27"/>
  <c r="K825" i="27" s="1"/>
  <c r="I231" i="28" s="1"/>
  <c r="I232" i="28" s="1"/>
  <c r="K803" i="27"/>
  <c r="K2918" i="3"/>
  <c r="K786" i="27"/>
  <c r="K2911" i="3"/>
  <c r="K783" i="27"/>
  <c r="K2891" i="3"/>
  <c r="K779" i="27"/>
  <c r="K2802" i="3"/>
  <c r="K765" i="27"/>
  <c r="F2019" i="3"/>
  <c r="F2023" i="3" s="1"/>
  <c r="J2023" i="3" s="1"/>
  <c r="K664" i="27"/>
  <c r="K661" i="27" s="1"/>
  <c r="I185" i="28" s="1"/>
  <c r="I186" i="28" s="1"/>
  <c r="K763" i="27"/>
  <c r="K578" i="27"/>
  <c r="K575" i="27" s="1"/>
  <c r="I157" i="28" s="1"/>
  <c r="I158" i="28" s="1"/>
  <c r="K806" i="27"/>
  <c r="L2995" i="3"/>
  <c r="K802" i="27"/>
  <c r="F2163" i="3"/>
  <c r="F2164" i="3" s="1"/>
  <c r="K687" i="27"/>
  <c r="K683" i="27" s="1"/>
  <c r="I193" i="28" s="1"/>
  <c r="I194" i="28" s="1"/>
  <c r="K2971" i="3"/>
  <c r="K798" i="27"/>
  <c r="K2915" i="3"/>
  <c r="K784" i="27"/>
  <c r="K2908" i="3"/>
  <c r="K781" i="27"/>
  <c r="K2881" i="3"/>
  <c r="K778" i="27"/>
  <c r="K2838" i="3"/>
  <c r="K771" i="27"/>
  <c r="K812" i="27"/>
  <c r="F2727" i="3"/>
  <c r="J2727" i="3" s="1"/>
  <c r="K753" i="27"/>
  <c r="K749" i="27" s="1"/>
  <c r="I215" i="28" s="1"/>
  <c r="I216" i="28" s="1"/>
  <c r="K587" i="27"/>
  <c r="K586" i="27"/>
  <c r="Q2950" i="3"/>
  <c r="K794" i="27"/>
  <c r="K821" i="27"/>
  <c r="L3001" i="3"/>
  <c r="K804" i="27"/>
  <c r="K2832" i="3"/>
  <c r="K770" i="27"/>
  <c r="K2964" i="3"/>
  <c r="K796" i="27"/>
  <c r="K795" i="27"/>
  <c r="K2898" i="3"/>
  <c r="K780" i="27"/>
  <c r="K2874" i="3"/>
  <c r="K776" i="27"/>
  <c r="K2815" i="3"/>
  <c r="K766" i="27"/>
  <c r="K1078" i="27"/>
  <c r="K1117" i="27"/>
  <c r="K1112" i="27" s="1"/>
  <c r="I310" i="28" s="1"/>
  <c r="I311" i="28" s="1"/>
  <c r="K1144" i="27"/>
  <c r="K1083" i="27"/>
  <c r="K1080" i="27"/>
  <c r="K1091" i="27"/>
  <c r="K1166" i="27"/>
  <c r="K1176" i="27"/>
  <c r="K1171" i="27" s="1"/>
  <c r="I322" i="28" s="1"/>
  <c r="I323" i="28" s="1"/>
  <c r="K1158" i="27"/>
  <c r="K1089" i="27"/>
  <c r="K1147" i="27"/>
  <c r="K1094" i="27"/>
  <c r="K1127" i="27"/>
  <c r="K1122" i="27" s="1"/>
  <c r="I312" i="28" s="1"/>
  <c r="I313" i="28" s="1"/>
  <c r="K1153" i="27"/>
  <c r="K1162" i="27"/>
  <c r="K1159" i="27" s="1"/>
  <c r="I320" i="28" s="1"/>
  <c r="K1010" i="27"/>
  <c r="K875" i="27"/>
  <c r="K889" i="27"/>
  <c r="K937" i="27"/>
  <c r="K958" i="27"/>
  <c r="K903" i="27"/>
  <c r="K900" i="27" s="1"/>
  <c r="I248" i="28" s="1"/>
  <c r="K878" i="27"/>
  <c r="K880" i="27"/>
  <c r="K884" i="27"/>
  <c r="K990" i="27"/>
  <c r="K993" i="27"/>
  <c r="K950" i="27"/>
  <c r="K910" i="27"/>
  <c r="K904" i="27" s="1"/>
  <c r="I250" i="28" s="1"/>
  <c r="K961" i="27"/>
  <c r="K952" i="27"/>
  <c r="M967" i="27"/>
  <c r="K967" i="27"/>
  <c r="M970" i="27"/>
  <c r="K970" i="27"/>
  <c r="F744" i="5"/>
  <c r="L138" i="21" s="1"/>
  <c r="K986" i="27"/>
  <c r="K984" i="27" s="1"/>
  <c r="I265" i="28" s="1"/>
  <c r="K869" i="27"/>
  <c r="K864" i="27" s="1"/>
  <c r="I242" i="28" s="1"/>
  <c r="K833" i="27"/>
  <c r="K841" i="27"/>
  <c r="K84" i="5"/>
  <c r="K848" i="27"/>
  <c r="K81" i="5"/>
  <c r="K847" i="27"/>
  <c r="K931" i="27"/>
  <c r="K854" i="27"/>
  <c r="K1001" i="27"/>
  <c r="K927" i="27"/>
  <c r="K929" i="27"/>
  <c r="K942" i="27"/>
  <c r="F687" i="5"/>
  <c r="K949" i="27"/>
  <c r="K968" i="27"/>
  <c r="M968" i="27"/>
  <c r="M972" i="27"/>
  <c r="K972" i="27"/>
  <c r="F467" i="5"/>
  <c r="L132" i="21" s="1"/>
  <c r="K913" i="27"/>
  <c r="K911" i="27" s="1"/>
  <c r="I252" i="28" s="1"/>
  <c r="K859" i="27"/>
  <c r="T95" i="5"/>
  <c r="K852" i="27"/>
  <c r="K899" i="27"/>
  <c r="K895" i="27" s="1"/>
  <c r="I246" i="28" s="1"/>
  <c r="K851" i="27"/>
  <c r="T92" i="5"/>
  <c r="T87" i="5"/>
  <c r="K849" i="27"/>
  <c r="K876" i="27"/>
  <c r="K888" i="27"/>
  <c r="K891" i="27"/>
  <c r="K1009" i="27"/>
  <c r="K977" i="27"/>
  <c r="K974" i="27" s="1"/>
  <c r="I263" i="28" s="1"/>
  <c r="K924" i="27"/>
  <c r="F619" i="5"/>
  <c r="K925" i="27"/>
  <c r="K938" i="27"/>
  <c r="K959" i="27"/>
  <c r="K973" i="27"/>
  <c r="H684" i="5"/>
  <c r="M973" i="27" s="1"/>
  <c r="T514" i="5"/>
  <c r="K920" i="27"/>
  <c r="K917" i="27" s="1"/>
  <c r="I256" i="28" s="1"/>
  <c r="K834" i="27"/>
  <c r="K840" i="27"/>
  <c r="K425" i="27"/>
  <c r="K507" i="27"/>
  <c r="K504" i="27" s="1"/>
  <c r="I141" i="28" s="1"/>
  <c r="I142" i="28" s="1"/>
  <c r="F2390" i="3"/>
  <c r="K490" i="27"/>
  <c r="K487" i="27" s="1"/>
  <c r="I137" i="28" s="1"/>
  <c r="I138" i="28" s="1"/>
  <c r="F2203" i="3"/>
  <c r="K692" i="27" s="1"/>
  <c r="K557" i="27"/>
  <c r="K456" i="27"/>
  <c r="K449" i="27"/>
  <c r="K524" i="27"/>
  <c r="K521" i="27" s="1"/>
  <c r="I145" i="28" s="1"/>
  <c r="I146" i="28" s="1"/>
  <c r="K382" i="27"/>
  <c r="K379" i="27" s="1"/>
  <c r="I115" i="28" s="1"/>
  <c r="I116" i="28" s="1"/>
  <c r="K374" i="27"/>
  <c r="K344" i="27"/>
  <c r="K362" i="27"/>
  <c r="W121" i="3"/>
  <c r="W2" i="3" s="1"/>
  <c r="R9" i="25" s="1"/>
  <c r="K302" i="27"/>
  <c r="R144" i="3"/>
  <c r="K313" i="27"/>
  <c r="R104" i="3"/>
  <c r="K299" i="27"/>
  <c r="K294" i="27"/>
  <c r="K364" i="27"/>
  <c r="K360" i="27"/>
  <c r="K359" i="27"/>
  <c r="K458" i="27"/>
  <c r="K465" i="27"/>
  <c r="K462" i="27" s="1"/>
  <c r="I131" i="28" s="1"/>
  <c r="I132" i="28" s="1"/>
  <c r="K404" i="27"/>
  <c r="K378" i="27"/>
  <c r="K373" i="27"/>
  <c r="K340" i="27"/>
  <c r="K293" i="27"/>
  <c r="K306" i="27"/>
  <c r="K482" i="27"/>
  <c r="K423" i="27"/>
  <c r="K421" i="27"/>
  <c r="R94" i="3"/>
  <c r="K296" i="27"/>
  <c r="F2534" i="3"/>
  <c r="K735" i="27" s="1"/>
  <c r="K567" i="27"/>
  <c r="K564" i="27"/>
  <c r="K558" i="27"/>
  <c r="K461" i="27"/>
  <c r="K397" i="27"/>
  <c r="K387" i="27" s="1"/>
  <c r="I117" i="28" s="1"/>
  <c r="K330" i="27"/>
  <c r="I105" i="28" s="1"/>
  <c r="I106" i="28" s="1"/>
  <c r="T146" i="3"/>
  <c r="K314" i="27"/>
  <c r="K365" i="27"/>
  <c r="K358" i="27"/>
  <c r="F502" i="3"/>
  <c r="Q135" i="3"/>
  <c r="K307" i="27"/>
  <c r="K300" i="27"/>
  <c r="K571" i="27"/>
  <c r="K568" i="27" s="1"/>
  <c r="I155" i="28" s="1"/>
  <c r="I156" i="28" s="1"/>
  <c r="K501" i="27"/>
  <c r="K440" i="27"/>
  <c r="I127" i="28" s="1"/>
  <c r="I128" i="28" s="1"/>
  <c r="K439" i="27"/>
  <c r="K429" i="27" s="1"/>
  <c r="I125" i="28" s="1"/>
  <c r="I126" i="28" s="1"/>
  <c r="K350" i="27"/>
  <c r="R140" i="3"/>
  <c r="K310" i="27"/>
  <c r="R101" i="3"/>
  <c r="K298" i="27"/>
  <c r="K515" i="27"/>
  <c r="K410" i="27"/>
  <c r="K401" i="27"/>
  <c r="K367" i="27"/>
  <c r="K363" i="27"/>
  <c r="K341" i="27"/>
  <c r="K498" i="27"/>
  <c r="K485" i="27"/>
  <c r="K351" i="27"/>
  <c r="K297" i="27"/>
  <c r="R129" i="3"/>
  <c r="K303" i="27"/>
  <c r="R72" i="3"/>
  <c r="K295" i="27"/>
  <c r="K540" i="27"/>
  <c r="K537" i="27" s="1"/>
  <c r="I149" i="28" s="1"/>
  <c r="I150" i="28" s="1"/>
  <c r="K319" i="27"/>
  <c r="K316" i="27" s="1"/>
  <c r="I101" i="28" s="1"/>
  <c r="I102" i="28" s="1"/>
  <c r="K562" i="27"/>
  <c r="K536" i="27"/>
  <c r="K529" i="27" s="1"/>
  <c r="I147" i="28" s="1"/>
  <c r="I148" i="28" s="1"/>
  <c r="K474" i="27"/>
  <c r="K471" i="27" s="1"/>
  <c r="I133" i="28" s="1"/>
  <c r="I134" i="28" s="1"/>
  <c r="K369" i="27"/>
  <c r="P2" i="3"/>
  <c r="K9" i="25" s="1"/>
  <c r="K548" i="27"/>
  <c r="K518" i="27"/>
  <c r="K166" i="27"/>
  <c r="K159" i="27"/>
  <c r="K156" i="27" s="1"/>
  <c r="I59" i="28" s="1"/>
  <c r="I60" i="28" s="1"/>
  <c r="F877" i="1"/>
  <c r="K176" i="27"/>
  <c r="Q791" i="1"/>
  <c r="K167" i="27"/>
  <c r="K202" i="27"/>
  <c r="K195" i="27"/>
  <c r="P796" i="1"/>
  <c r="K170" i="27"/>
  <c r="K151" i="27"/>
  <c r="K148" i="27" s="1"/>
  <c r="I55" i="28" s="1"/>
  <c r="I56" i="28" s="1"/>
  <c r="K128" i="27"/>
  <c r="K125" i="27" s="1"/>
  <c r="I47" i="28" s="1"/>
  <c r="I48" i="28" s="1"/>
  <c r="P789" i="1"/>
  <c r="K165" i="27"/>
  <c r="K164" i="27"/>
  <c r="K116" i="27"/>
  <c r="K199" i="27"/>
  <c r="K146" i="27"/>
  <c r="K142" i="27"/>
  <c r="K141" i="27"/>
  <c r="K136" i="27"/>
  <c r="K133" i="27"/>
  <c r="F727" i="1"/>
  <c r="K57" i="28" s="1"/>
  <c r="K155" i="27"/>
  <c r="K152" i="27" s="1"/>
  <c r="I57" i="28" s="1"/>
  <c r="I58" i="28" s="1"/>
  <c r="K147" i="27"/>
  <c r="K109" i="27"/>
  <c r="O238" i="1"/>
  <c r="K91" i="27"/>
  <c r="K48" i="1"/>
  <c r="K56" i="27"/>
  <c r="K95" i="27"/>
  <c r="J230" i="1"/>
  <c r="J225" i="1"/>
  <c r="K85" i="27"/>
  <c r="J221" i="1"/>
  <c r="K82" i="27"/>
  <c r="J205" i="1"/>
  <c r="K77" i="27"/>
  <c r="J198" i="1"/>
  <c r="K76" i="27"/>
  <c r="J194" i="1"/>
  <c r="K75" i="27"/>
  <c r="J170" i="1"/>
  <c r="K72" i="27"/>
  <c r="J43" i="1"/>
  <c r="K55" i="27"/>
  <c r="X236" i="1"/>
  <c r="K90" i="27"/>
  <c r="J226" i="1"/>
  <c r="K86" i="27"/>
  <c r="K101" i="27"/>
  <c r="K97" i="27" s="1"/>
  <c r="I37" i="28" s="1"/>
  <c r="I38" i="28" s="1"/>
  <c r="K89" i="1"/>
  <c r="K63" i="27"/>
  <c r="K84" i="1"/>
  <c r="K61" i="27"/>
  <c r="K18" i="1"/>
  <c r="K51" i="27"/>
  <c r="J224" i="1"/>
  <c r="K84" i="27"/>
  <c r="J212" i="1"/>
  <c r="K80" i="27"/>
  <c r="K78" i="27"/>
  <c r="J165" i="1"/>
  <c r="K71" i="27"/>
  <c r="J149" i="1"/>
  <c r="K68" i="27"/>
  <c r="J117" i="1"/>
  <c r="K67" i="27"/>
  <c r="K16" i="1"/>
  <c r="K49" i="27"/>
  <c r="K105" i="27"/>
  <c r="K102" i="27" s="1"/>
  <c r="I39" i="28" s="1"/>
  <c r="I40" i="28" s="1"/>
  <c r="K87" i="1"/>
  <c r="K62" i="27"/>
  <c r="K82" i="1"/>
  <c r="K60" i="27"/>
  <c r="K17" i="1"/>
  <c r="K50" i="27"/>
  <c r="K110" i="27"/>
  <c r="J267" i="1"/>
  <c r="K96" i="27"/>
  <c r="J250" i="1"/>
  <c r="J242" i="1"/>
  <c r="K93" i="27"/>
  <c r="J227" i="1"/>
  <c r="K87" i="27"/>
  <c r="J152" i="1"/>
  <c r="G26" i="18"/>
  <c r="Y12" i="25"/>
  <c r="L16" i="16"/>
  <c r="L42" i="16"/>
  <c r="F2538" i="3"/>
  <c r="F2215" i="3"/>
  <c r="K693" i="27" s="1"/>
  <c r="F1723" i="3"/>
  <c r="K617" i="27" s="1"/>
  <c r="F1656" i="3"/>
  <c r="K606" i="27" s="1"/>
  <c r="K127" i="15"/>
  <c r="F3130" i="3"/>
  <c r="I32" i="25"/>
  <c r="K14" i="15"/>
  <c r="M14" i="15" s="1"/>
  <c r="F1952" i="3"/>
  <c r="K654" i="27" s="1"/>
  <c r="F2623" i="3"/>
  <c r="F1585" i="3"/>
  <c r="K599" i="27" s="1"/>
  <c r="F1597" i="3"/>
  <c r="K601" i="27" s="1"/>
  <c r="I31" i="25"/>
  <c r="F434" i="3"/>
  <c r="F1559" i="3"/>
  <c r="F714" i="3"/>
  <c r="K780" i="1"/>
  <c r="L3017" i="3"/>
  <c r="F2592" i="3"/>
  <c r="F1990" i="3"/>
  <c r="K660" i="27" s="1"/>
  <c r="F1769" i="3"/>
  <c r="K624" i="27" s="1"/>
  <c r="F1091" i="3"/>
  <c r="F2600" i="3"/>
  <c r="F2259" i="3"/>
  <c r="K698" i="27" s="1"/>
  <c r="F1719" i="3"/>
  <c r="K616" i="27" s="1"/>
  <c r="F1209" i="3"/>
  <c r="F307" i="3"/>
  <c r="K329" i="27" s="1"/>
  <c r="L119" i="21"/>
  <c r="F1831" i="3"/>
  <c r="F924" i="3"/>
  <c r="T924" i="3" s="1"/>
  <c r="F1450" i="3"/>
  <c r="L1450" i="3" s="1"/>
  <c r="F2306" i="3"/>
  <c r="K705" i="27" s="1"/>
  <c r="F236" i="3"/>
  <c r="I7" i="23" s="1"/>
  <c r="F1948" i="3"/>
  <c r="K653" i="27" s="1"/>
  <c r="F2097" i="3"/>
  <c r="K676" i="27" s="1"/>
  <c r="F1166" i="3"/>
  <c r="L17" i="22" s="1"/>
  <c r="F2755" i="3"/>
  <c r="K757" i="27" s="1"/>
  <c r="F2767" i="3"/>
  <c r="K759" i="27" s="1"/>
  <c r="F2348" i="3"/>
  <c r="F965" i="3"/>
  <c r="K965" i="3" s="1"/>
  <c r="F626" i="3"/>
  <c r="U626" i="3" s="1"/>
  <c r="F1462" i="5"/>
  <c r="K1024" i="27"/>
  <c r="K1021" i="27" s="1"/>
  <c r="I275" i="28" s="1"/>
  <c r="F1383" i="5"/>
  <c r="F1409" i="5"/>
  <c r="F1304" i="5"/>
  <c r="F1548" i="5"/>
  <c r="F816" i="5"/>
  <c r="K269" i="28" s="1"/>
  <c r="F490" i="5"/>
  <c r="N490" i="5" s="1"/>
  <c r="F263" i="5"/>
  <c r="L127" i="21" s="1"/>
  <c r="F1331" i="5"/>
  <c r="G127" i="15"/>
  <c r="F1513" i="5"/>
  <c r="F26" i="5"/>
  <c r="F414" i="5"/>
  <c r="M414" i="5" s="1"/>
  <c r="F209" i="5"/>
  <c r="P209" i="5" s="1"/>
  <c r="P2" i="5" s="1"/>
  <c r="K10" i="25" s="1"/>
  <c r="F1521" i="5"/>
  <c r="F342" i="5"/>
  <c r="L128" i="21" s="1"/>
  <c r="F780" i="5"/>
  <c r="F444" i="5"/>
  <c r="F176" i="5"/>
  <c r="L125" i="21" s="1"/>
  <c r="F536" i="5"/>
  <c r="K256" i="28" s="1"/>
  <c r="F1241" i="5"/>
  <c r="F1273" i="5"/>
  <c r="F897" i="5"/>
  <c r="F723" i="5"/>
  <c r="K263" i="28" s="1"/>
  <c r="F1141" i="5"/>
  <c r="F59" i="5"/>
  <c r="U59" i="5" s="1"/>
  <c r="F1199" i="5"/>
  <c r="F857" i="5"/>
  <c r="F103" i="5"/>
  <c r="L123" i="21" s="1"/>
  <c r="F382" i="5"/>
  <c r="M382" i="5" s="1"/>
  <c r="T519" i="5"/>
  <c r="L140" i="8"/>
  <c r="F127" i="15"/>
  <c r="F832" i="1"/>
  <c r="F871" i="1"/>
  <c r="F1192" i="1"/>
  <c r="F675" i="1"/>
  <c r="K55" i="28" s="1"/>
  <c r="F757" i="1"/>
  <c r="F1112" i="1"/>
  <c r="F148" i="2"/>
  <c r="L166" i="21" s="1"/>
  <c r="F177" i="2"/>
  <c r="K306" i="28" s="1"/>
  <c r="F458" i="2"/>
  <c r="K318" i="28" s="1"/>
  <c r="F216" i="2"/>
  <c r="K308" i="28" s="1"/>
  <c r="F296" i="2"/>
  <c r="K312" i="28" s="1"/>
  <c r="F100" i="2"/>
  <c r="F259" i="2"/>
  <c r="K310" i="28" s="1"/>
  <c r="F395" i="2"/>
  <c r="K316" i="28" s="1"/>
  <c r="F538" i="2"/>
  <c r="F48" i="2"/>
  <c r="F327" i="2"/>
  <c r="K314" i="28" s="1"/>
  <c r="F502" i="2"/>
  <c r="K320" i="28" s="1"/>
  <c r="F3020" i="3"/>
  <c r="F1589" i="3"/>
  <c r="K600" i="27" s="1"/>
  <c r="F2103" i="3"/>
  <c r="K677" i="27" s="1"/>
  <c r="F1984" i="3"/>
  <c r="K659" i="27" s="1"/>
  <c r="F1872" i="3"/>
  <c r="K641" i="27" s="1"/>
  <c r="F1761" i="3"/>
  <c r="K623" i="27" s="1"/>
  <c r="F2927" i="3"/>
  <c r="F2973" i="3"/>
  <c r="F545" i="3"/>
  <c r="F2569" i="3"/>
  <c r="L107" i="21" s="1"/>
  <c r="F2135" i="3"/>
  <c r="F2066" i="3"/>
  <c r="K671" i="27" s="1"/>
  <c r="F1916" i="3"/>
  <c r="K648" i="27" s="1"/>
  <c r="F1004" i="3"/>
  <c r="F2488" i="3"/>
  <c r="K730" i="27" s="1"/>
  <c r="F2265" i="3"/>
  <c r="K699" i="27" s="1"/>
  <c r="F791" i="3"/>
  <c r="L791" i="3" s="1"/>
  <c r="F3084" i="3"/>
  <c r="F3088" i="3" s="1"/>
  <c r="L117" i="21" s="1"/>
  <c r="F2056" i="3"/>
  <c r="K670" i="27" s="1"/>
  <c r="F1910" i="3"/>
  <c r="K647" i="27" s="1"/>
  <c r="F666" i="3"/>
  <c r="F1316" i="3"/>
  <c r="K149" i="28" s="1"/>
  <c r="K137" i="28"/>
  <c r="F2629" i="3"/>
  <c r="F886" i="3"/>
  <c r="F1247" i="3"/>
  <c r="U1247" i="3" s="1"/>
  <c r="F1485" i="3"/>
  <c r="U1485" i="3" s="1"/>
  <c r="F1127" i="3"/>
  <c r="F273" i="3"/>
  <c r="F2759" i="3"/>
  <c r="K758" i="27" s="1"/>
  <c r="T2792" i="3"/>
  <c r="F2851" i="3"/>
  <c r="F1413" i="3"/>
  <c r="K153" i="28" s="1"/>
  <c r="F584" i="3"/>
  <c r="K584" i="3" s="1"/>
  <c r="F394" i="3"/>
  <c r="K394" i="3" s="1"/>
  <c r="F748" i="3"/>
  <c r="K748" i="3" s="1"/>
  <c r="F1878" i="3"/>
  <c r="K642" i="27" s="1"/>
  <c r="F3056" i="3"/>
  <c r="T3056" i="3" s="1"/>
  <c r="F1529" i="3"/>
  <c r="S13" i="25"/>
  <c r="S14" i="25" s="1"/>
  <c r="F2481" i="3"/>
  <c r="K729" i="27" s="1"/>
  <c r="F2439" i="3"/>
  <c r="K724" i="27" s="1"/>
  <c r="F2300" i="3"/>
  <c r="K704" i="27" s="1"/>
  <c r="F1360" i="3"/>
  <c r="K151" i="28" s="1"/>
  <c r="F2433" i="3"/>
  <c r="K723" i="27" s="1"/>
  <c r="F1692" i="3"/>
  <c r="F1662" i="3"/>
  <c r="K607" i="27" s="1"/>
  <c r="F822" i="3"/>
  <c r="K822" i="3" s="1"/>
  <c r="F1731" i="3"/>
  <c r="K618" i="27" s="1"/>
  <c r="K147" i="28"/>
  <c r="F344" i="3"/>
  <c r="K105" i="28" s="1"/>
  <c r="F157" i="3"/>
  <c r="K99" i="28" s="1"/>
  <c r="F841" i="1"/>
  <c r="F1442" i="1"/>
  <c r="F495" i="1"/>
  <c r="F307" i="1"/>
  <c r="K37" i="28" s="1"/>
  <c r="F945" i="1"/>
  <c r="K187" i="27" s="1"/>
  <c r="F464" i="1"/>
  <c r="K45" i="28" s="1"/>
  <c r="F390" i="1"/>
  <c r="K41" i="28" s="1"/>
  <c r="F1320" i="1"/>
  <c r="S1320" i="1" s="1"/>
  <c r="F1280" i="1"/>
  <c r="S1280" i="1" s="1"/>
  <c r="F828" i="1"/>
  <c r="F606" i="1"/>
  <c r="K53" i="28" s="1"/>
  <c r="F570" i="1"/>
  <c r="K51" i="28" s="1"/>
  <c r="F1415" i="1"/>
  <c r="F1149" i="1"/>
  <c r="F1236" i="1"/>
  <c r="F1470" i="1"/>
  <c r="F908" i="1"/>
  <c r="F61" i="1"/>
  <c r="K31" i="28" s="1"/>
  <c r="F981" i="1"/>
  <c r="F983" i="1" s="1"/>
  <c r="F538" i="1"/>
  <c r="F349" i="1"/>
  <c r="F1035" i="1"/>
  <c r="J15" i="1"/>
  <c r="F20" i="1"/>
  <c r="K29" i="28" s="1"/>
  <c r="F951" i="1"/>
  <c r="K188" i="27" s="1"/>
  <c r="F93" i="1"/>
  <c r="K33" i="28" s="1"/>
  <c r="F1384" i="1"/>
  <c r="F428" i="1"/>
  <c r="F1354" i="1"/>
  <c r="K64" i="27" l="1"/>
  <c r="T714" i="3"/>
  <c r="E720" i="3"/>
  <c r="K996" i="27"/>
  <c r="I269" i="28" s="1"/>
  <c r="K1084" i="27"/>
  <c r="I304" i="28" s="1"/>
  <c r="I305" i="28" s="1"/>
  <c r="K855" i="27"/>
  <c r="I240" i="28" s="1"/>
  <c r="F1578" i="5"/>
  <c r="L34" i="21"/>
  <c r="P983" i="1"/>
  <c r="C5" i="31"/>
  <c r="C6" i="31"/>
  <c r="C4" i="31"/>
  <c r="L145" i="21"/>
  <c r="K1063" i="27"/>
  <c r="K1060" i="27" s="1"/>
  <c r="I295" i="28" s="1"/>
  <c r="C17" i="31"/>
  <c r="C2" i="31"/>
  <c r="L143" i="21"/>
  <c r="C21" i="31"/>
  <c r="L153" i="21"/>
  <c r="L148" i="21"/>
  <c r="L149" i="21"/>
  <c r="L60" i="16"/>
  <c r="K250" i="28"/>
  <c r="U444" i="5"/>
  <c r="K267" i="28"/>
  <c r="K780" i="5"/>
  <c r="L121" i="21"/>
  <c r="Q26" i="5"/>
  <c r="Q2" i="5" s="1"/>
  <c r="L10" i="25" s="1"/>
  <c r="L142" i="21"/>
  <c r="V897" i="5"/>
  <c r="V2" i="5" s="1"/>
  <c r="Q10" i="25" s="1"/>
  <c r="K139" i="28"/>
  <c r="K1091" i="3"/>
  <c r="K135" i="28"/>
  <c r="L1004" i="3"/>
  <c r="K117" i="28"/>
  <c r="K118" i="28" s="1"/>
  <c r="K109" i="28"/>
  <c r="K434" i="3"/>
  <c r="K119" i="28"/>
  <c r="K666" i="3"/>
  <c r="K113" i="28"/>
  <c r="Q545" i="3"/>
  <c r="Q2" i="3" s="1"/>
  <c r="L9" i="25" s="1"/>
  <c r="F842" i="1"/>
  <c r="J842" i="1" s="1"/>
  <c r="K1073" i="27"/>
  <c r="I302" i="28" s="1"/>
  <c r="I303" i="28" s="1"/>
  <c r="M1073" i="27"/>
  <c r="U48" i="2"/>
  <c r="U2" i="2" s="1"/>
  <c r="N11" i="25" s="1"/>
  <c r="K302" i="28"/>
  <c r="L100" i="2"/>
  <c r="K304" i="28"/>
  <c r="L25" i="8"/>
  <c r="K544" i="27"/>
  <c r="I151" i="28" s="1"/>
  <c r="I152" i="28" s="1"/>
  <c r="K700" i="27"/>
  <c r="I199" i="28" s="1"/>
  <c r="I200" i="28" s="1"/>
  <c r="L73" i="21"/>
  <c r="S1209" i="3"/>
  <c r="K129" i="28"/>
  <c r="T886" i="3"/>
  <c r="K52" i="27"/>
  <c r="I31" i="28" s="1"/>
  <c r="I32" i="28" s="1"/>
  <c r="Q2" i="1"/>
  <c r="M8" i="25" s="1"/>
  <c r="K47" i="28"/>
  <c r="K495" i="1"/>
  <c r="X2" i="1"/>
  <c r="T8" i="25" s="1"/>
  <c r="T13" i="25" s="1"/>
  <c r="T14" i="25" s="1"/>
  <c r="K113" i="27"/>
  <c r="I43" i="28" s="1"/>
  <c r="I44" i="28" s="1"/>
  <c r="K35" i="28"/>
  <c r="K809" i="27"/>
  <c r="I227" i="28" s="1"/>
  <c r="I228" i="28" s="1"/>
  <c r="M1171" i="27"/>
  <c r="K322" i="28"/>
  <c r="K719" i="27"/>
  <c r="I205" i="28" s="1"/>
  <c r="I206" i="28" s="1"/>
  <c r="K666" i="27"/>
  <c r="I187" i="28" s="1"/>
  <c r="I188" i="28" s="1"/>
  <c r="K655" i="27"/>
  <c r="I183" i="28" s="1"/>
  <c r="I184" i="28" s="1"/>
  <c r="K649" i="27"/>
  <c r="I181" i="28" s="1"/>
  <c r="I182" i="28" s="1"/>
  <c r="K643" i="27"/>
  <c r="I179" i="28" s="1"/>
  <c r="I180" i="28" s="1"/>
  <c r="K637" i="27"/>
  <c r="I177" i="28" s="1"/>
  <c r="I178" i="28" s="1"/>
  <c r="K694" i="27"/>
  <c r="I197" i="28" s="1"/>
  <c r="I198" i="28" s="1"/>
  <c r="K263" i="27"/>
  <c r="I87" i="28" s="1"/>
  <c r="I88" i="28" s="1"/>
  <c r="N727" i="1"/>
  <c r="M102" i="27"/>
  <c r="K39" i="28"/>
  <c r="L40" i="8"/>
  <c r="K91" i="28"/>
  <c r="M275" i="27"/>
  <c r="J1384" i="1"/>
  <c r="K89" i="28"/>
  <c r="M270" i="27"/>
  <c r="K93" i="28"/>
  <c r="M280" i="27"/>
  <c r="K1192" i="1"/>
  <c r="K79" i="28"/>
  <c r="M226" i="27"/>
  <c r="O1112" i="1"/>
  <c r="O2" i="1" s="1"/>
  <c r="K8" i="25" s="1"/>
  <c r="K13" i="25" s="1"/>
  <c r="K14" i="25" s="1"/>
  <c r="K75" i="28"/>
  <c r="M211" i="27"/>
  <c r="V1354" i="1"/>
  <c r="K87" i="28"/>
  <c r="M263" i="27"/>
  <c r="K95" i="28"/>
  <c r="M284" i="27"/>
  <c r="L38" i="8"/>
  <c r="K85" i="28"/>
  <c r="M256" i="27"/>
  <c r="N757" i="1"/>
  <c r="K59" i="28"/>
  <c r="L34" i="8"/>
  <c r="K77" i="28"/>
  <c r="M219" i="27"/>
  <c r="L40" i="21"/>
  <c r="K83" i="28"/>
  <c r="M246" i="27"/>
  <c r="M113" i="27"/>
  <c r="K43" i="28"/>
  <c r="M190" i="27"/>
  <c r="K71" i="28"/>
  <c r="L36" i="8"/>
  <c r="K81" i="28"/>
  <c r="M236" i="27"/>
  <c r="M161" i="27"/>
  <c r="K62" i="28"/>
  <c r="L135" i="21"/>
  <c r="K258" i="28"/>
  <c r="M945" i="27"/>
  <c r="K260" i="28"/>
  <c r="L156" i="21"/>
  <c r="K1055" i="27"/>
  <c r="K1052" i="27" s="1"/>
  <c r="I291" i="28" s="1"/>
  <c r="M129" i="27"/>
  <c r="K49" i="28"/>
  <c r="K1206" i="27"/>
  <c r="I334" i="28" s="1"/>
  <c r="I336" i="28"/>
  <c r="I337" i="28" s="1"/>
  <c r="M1006" i="27"/>
  <c r="K271" i="28"/>
  <c r="F2216" i="3"/>
  <c r="K195" i="28" s="1"/>
  <c r="I15" i="23"/>
  <c r="K619" i="27"/>
  <c r="I171" i="28" s="1"/>
  <c r="I172" i="28" s="1"/>
  <c r="K672" i="27"/>
  <c r="I189" i="28" s="1"/>
  <c r="I190" i="28" s="1"/>
  <c r="K324" i="27"/>
  <c r="I103" i="28" s="1"/>
  <c r="I104" i="28" s="1"/>
  <c r="K688" i="27"/>
  <c r="I195" i="28" s="1"/>
  <c r="I196" i="28" s="1"/>
  <c r="K725" i="27"/>
  <c r="I207" i="28" s="1"/>
  <c r="I208" i="28" s="1"/>
  <c r="K602" i="27"/>
  <c r="I165" i="28" s="1"/>
  <c r="I166" i="28" s="1"/>
  <c r="K407" i="27"/>
  <c r="I121" i="28" s="1"/>
  <c r="I122" i="28" s="1"/>
  <c r="K816" i="27"/>
  <c r="I229" i="28" s="1"/>
  <c r="I230" i="28" s="1"/>
  <c r="K583" i="27"/>
  <c r="I159" i="28" s="1"/>
  <c r="I160" i="28" s="1"/>
  <c r="K157" i="28"/>
  <c r="M575" i="27"/>
  <c r="K221" i="28"/>
  <c r="I44" i="23"/>
  <c r="K225" i="28"/>
  <c r="M799" i="27"/>
  <c r="L118" i="21"/>
  <c r="K229" i="28"/>
  <c r="M816" i="27"/>
  <c r="K760" i="27"/>
  <c r="I219" i="28" s="1"/>
  <c r="I220" i="28" s="1"/>
  <c r="M379" i="27"/>
  <c r="K115" i="28"/>
  <c r="L63" i="21"/>
  <c r="K125" i="28"/>
  <c r="F2349" i="3"/>
  <c r="L102" i="21" s="1"/>
  <c r="K711" i="27"/>
  <c r="K706" i="27" s="1"/>
  <c r="I201" i="28" s="1"/>
  <c r="I202" i="28" s="1"/>
  <c r="I38" i="23"/>
  <c r="K155" i="28"/>
  <c r="M568" i="27"/>
  <c r="F2539" i="3"/>
  <c r="L2539" i="3" s="1"/>
  <c r="K736" i="27"/>
  <c r="K731" i="27" s="1"/>
  <c r="I209" i="28" s="1"/>
  <c r="I210" i="28" s="1"/>
  <c r="M355" i="27"/>
  <c r="K111" i="28"/>
  <c r="K791" i="27"/>
  <c r="I223" i="28" s="1"/>
  <c r="I224" i="28" s="1"/>
  <c r="M440" i="27"/>
  <c r="K127" i="28"/>
  <c r="L2135" i="3"/>
  <c r="K191" i="28"/>
  <c r="M678" i="27"/>
  <c r="M521" i="27"/>
  <c r="K145" i="28"/>
  <c r="K185" i="28"/>
  <c r="M661" i="27"/>
  <c r="K167" i="28"/>
  <c r="M608" i="27"/>
  <c r="I31" i="23"/>
  <c r="K173" i="28"/>
  <c r="M625" i="27"/>
  <c r="K131" i="28"/>
  <c r="I32" i="23"/>
  <c r="K143" i="28"/>
  <c r="K161" i="28"/>
  <c r="M591" i="27"/>
  <c r="K596" i="27"/>
  <c r="I163" i="28" s="1"/>
  <c r="I164" i="28" s="1"/>
  <c r="K773" i="27"/>
  <c r="K215" i="28"/>
  <c r="M749" i="27"/>
  <c r="K193" i="28"/>
  <c r="M683" i="27"/>
  <c r="K227" i="28"/>
  <c r="M809" i="27"/>
  <c r="M337" i="27"/>
  <c r="K107" i="28"/>
  <c r="K219" i="28"/>
  <c r="M760" i="27"/>
  <c r="L60" i="21"/>
  <c r="I43" i="23"/>
  <c r="K223" i="28"/>
  <c r="K754" i="27"/>
  <c r="I217" i="28" s="1"/>
  <c r="I218" i="28" s="1"/>
  <c r="F1841" i="3"/>
  <c r="J1841" i="3" s="1"/>
  <c r="K634" i="27"/>
  <c r="K630" i="27" s="1"/>
  <c r="I175" i="28" s="1"/>
  <c r="I176" i="28" s="1"/>
  <c r="K613" i="27"/>
  <c r="I169" i="28" s="1"/>
  <c r="I170" i="28" s="1"/>
  <c r="F2395" i="3"/>
  <c r="L103" i="21" s="1"/>
  <c r="K717" i="27"/>
  <c r="K712" i="27" s="1"/>
  <c r="I203" i="28" s="1"/>
  <c r="I204" i="28" s="1"/>
  <c r="K799" i="27"/>
  <c r="I225" i="28" s="1"/>
  <c r="I226" i="28" s="1"/>
  <c r="M504" i="27"/>
  <c r="K141" i="28"/>
  <c r="I26" i="23"/>
  <c r="L68" i="21"/>
  <c r="L15" i="22"/>
  <c r="M471" i="27"/>
  <c r="K133" i="28"/>
  <c r="L65" i="21"/>
  <c r="K159" i="28"/>
  <c r="M583" i="27"/>
  <c r="M418" i="27"/>
  <c r="K123" i="28"/>
  <c r="K321" i="28"/>
  <c r="I321" i="28"/>
  <c r="I118" i="28"/>
  <c r="K1137" i="27"/>
  <c r="I316" i="28" s="1"/>
  <c r="I317" i="28" s="1"/>
  <c r="K1148" i="27"/>
  <c r="I318" i="28" s="1"/>
  <c r="I319" i="28" s="1"/>
  <c r="L174" i="21"/>
  <c r="M1159" i="27"/>
  <c r="M1160" i="27" s="1"/>
  <c r="M502" i="2"/>
  <c r="L171" i="21"/>
  <c r="M1130" i="27"/>
  <c r="L172" i="21"/>
  <c r="M1137" i="27"/>
  <c r="N216" i="2"/>
  <c r="M1103" i="27"/>
  <c r="L165" i="21"/>
  <c r="M1084" i="27"/>
  <c r="M177" i="2"/>
  <c r="M1095" i="27"/>
  <c r="M296" i="2"/>
  <c r="M1122" i="27"/>
  <c r="L167" i="21"/>
  <c r="N259" i="2"/>
  <c r="M1112" i="27"/>
  <c r="L458" i="2"/>
  <c r="M1148" i="27"/>
  <c r="K1006" i="27"/>
  <c r="I271" i="28" s="1"/>
  <c r="K987" i="27"/>
  <c r="I267" i="28" s="1"/>
  <c r="K872" i="27"/>
  <c r="I244" i="28" s="1"/>
  <c r="N744" i="5"/>
  <c r="N2" i="5" s="1"/>
  <c r="I10" i="25" s="1"/>
  <c r="I13" i="25" s="1"/>
  <c r="K837" i="27"/>
  <c r="I236" i="28" s="1"/>
  <c r="L134" i="21"/>
  <c r="M917" i="27"/>
  <c r="W2" i="5"/>
  <c r="R10" i="25" s="1"/>
  <c r="M987" i="27"/>
  <c r="L140" i="21"/>
  <c r="M996" i="27"/>
  <c r="K921" i="27"/>
  <c r="I258" i="28" s="1"/>
  <c r="K844" i="27"/>
  <c r="I238" i="28" s="1"/>
  <c r="K945" i="27"/>
  <c r="K830" i="27"/>
  <c r="I234" i="28" s="1"/>
  <c r="L137" i="21"/>
  <c r="M974" i="27"/>
  <c r="M904" i="27"/>
  <c r="M934" i="27"/>
  <c r="M921" i="27"/>
  <c r="Z467" i="5"/>
  <c r="Z2" i="5" s="1"/>
  <c r="V10" i="25" s="1"/>
  <c r="V13" i="25" s="1"/>
  <c r="K495" i="27"/>
  <c r="I139" i="28" s="1"/>
  <c r="I140" i="28" s="1"/>
  <c r="K398" i="27"/>
  <c r="I119" i="28" s="1"/>
  <c r="I120" i="28" s="1"/>
  <c r="F2104" i="3"/>
  <c r="K337" i="27"/>
  <c r="I107" i="28" s="1"/>
  <c r="I108" i="28" s="1"/>
  <c r="I17" i="23"/>
  <c r="L61" i="21"/>
  <c r="F2601" i="3"/>
  <c r="L108" i="21" s="1"/>
  <c r="K446" i="27"/>
  <c r="I129" i="28" s="1"/>
  <c r="I130" i="28" s="1"/>
  <c r="K554" i="27"/>
  <c r="I153" i="28" s="1"/>
  <c r="I154" i="28" s="1"/>
  <c r="F309" i="3"/>
  <c r="M324" i="27" s="1"/>
  <c r="L79" i="21"/>
  <c r="V2" i="3"/>
  <c r="Q9" i="25" s="1"/>
  <c r="K418" i="27"/>
  <c r="I123" i="28" s="1"/>
  <c r="I124" i="28" s="1"/>
  <c r="K370" i="27"/>
  <c r="I113" i="28" s="1"/>
  <c r="I114" i="28" s="1"/>
  <c r="F1663" i="3"/>
  <c r="L1663" i="3" s="1"/>
  <c r="L88" i="21"/>
  <c r="L23" i="22"/>
  <c r="F2266" i="3"/>
  <c r="L100" i="21" s="1"/>
  <c r="M387" i="27"/>
  <c r="M388" i="27" s="1"/>
  <c r="L55" i="21"/>
  <c r="M347" i="27"/>
  <c r="R344" i="3"/>
  <c r="M330" i="27"/>
  <c r="S195" i="3"/>
  <c r="M316" i="27"/>
  <c r="K355" i="27"/>
  <c r="T1413" i="3"/>
  <c r="M554" i="27"/>
  <c r="M446" i="27"/>
  <c r="L24" i="22"/>
  <c r="M429" i="27"/>
  <c r="L57" i="21"/>
  <c r="M370" i="27"/>
  <c r="L51" i="21"/>
  <c r="K512" i="27"/>
  <c r="I143" i="28" s="1"/>
  <c r="I144" i="28" s="1"/>
  <c r="K290" i="27"/>
  <c r="I99" i="28" s="1"/>
  <c r="I100" i="28" s="1"/>
  <c r="I5" i="23"/>
  <c r="M290" i="27"/>
  <c r="M487" i="27"/>
  <c r="M1316" i="3"/>
  <c r="M537" i="27"/>
  <c r="T1281" i="3"/>
  <c r="M529" i="27"/>
  <c r="R1360" i="3"/>
  <c r="M544" i="27"/>
  <c r="M398" i="27"/>
  <c r="M479" i="27"/>
  <c r="L12" i="22"/>
  <c r="I11" i="23"/>
  <c r="F2768" i="3"/>
  <c r="J2768" i="3" s="1"/>
  <c r="I16" i="23"/>
  <c r="L97" i="21"/>
  <c r="I19" i="23"/>
  <c r="F2630" i="3"/>
  <c r="L109" i="21" s="1"/>
  <c r="L59" i="21"/>
  <c r="F1770" i="3"/>
  <c r="J1770" i="3" s="1"/>
  <c r="F1598" i="3"/>
  <c r="L66" i="21"/>
  <c r="M462" i="27"/>
  <c r="M512" i="27"/>
  <c r="L70" i="21"/>
  <c r="M495" i="27"/>
  <c r="K347" i="27"/>
  <c r="I109" i="28" s="1"/>
  <c r="I110" i="28" s="1"/>
  <c r="K479" i="27"/>
  <c r="I135" i="28" s="1"/>
  <c r="I136" i="28" s="1"/>
  <c r="K183" i="27"/>
  <c r="I68" i="28" s="1"/>
  <c r="I69" i="28" s="1"/>
  <c r="K190" i="27"/>
  <c r="I71" i="28" s="1"/>
  <c r="I72" i="28" s="1"/>
  <c r="K161" i="27"/>
  <c r="I62" i="28" s="1"/>
  <c r="I63" i="28" s="1"/>
  <c r="L24" i="8"/>
  <c r="M152" i="27"/>
  <c r="K106" i="27"/>
  <c r="I41" i="28" s="1"/>
  <c r="I42" i="28" s="1"/>
  <c r="K129" i="27"/>
  <c r="I49" i="28" s="1"/>
  <c r="I50" i="28" s="1"/>
  <c r="L28" i="21"/>
  <c r="M156" i="27"/>
  <c r="L27" i="21"/>
  <c r="F916" i="1"/>
  <c r="S916" i="1" s="1"/>
  <c r="K181" i="27"/>
  <c r="K177" i="27" s="1"/>
  <c r="I66" i="28" s="1"/>
  <c r="I67" i="28" s="1"/>
  <c r="L35" i="8"/>
  <c r="F879" i="1"/>
  <c r="K64" i="28" s="1"/>
  <c r="K175" i="27"/>
  <c r="K171" i="27" s="1"/>
  <c r="I64" i="28" s="1"/>
  <c r="I65" i="28" s="1"/>
  <c r="K138" i="27"/>
  <c r="I51" i="28" s="1"/>
  <c r="I52" i="28" s="1"/>
  <c r="K606" i="1"/>
  <c r="M143" i="27"/>
  <c r="K570" i="1"/>
  <c r="M138" i="27"/>
  <c r="L20" i="8"/>
  <c r="M125" i="27"/>
  <c r="K464" i="1"/>
  <c r="M119" i="27"/>
  <c r="P675" i="1"/>
  <c r="M148" i="27"/>
  <c r="K143" i="27"/>
  <c r="I53" i="28" s="1"/>
  <c r="I54" i="28" s="1"/>
  <c r="K45" i="27"/>
  <c r="I29" i="28" s="1"/>
  <c r="L15" i="21"/>
  <c r="L16" i="8"/>
  <c r="M97" i="27"/>
  <c r="L14" i="21"/>
  <c r="M57" i="27"/>
  <c r="K390" i="1"/>
  <c r="M106" i="27"/>
  <c r="I35" i="28"/>
  <c r="I36" i="28" s="1"/>
  <c r="L13" i="21"/>
  <c r="M52" i="27"/>
  <c r="L12" i="21"/>
  <c r="M45" i="27"/>
  <c r="K57" i="27"/>
  <c r="I33" i="28" s="1"/>
  <c r="I34" i="28" s="1"/>
  <c r="T3130" i="3"/>
  <c r="L33" i="8"/>
  <c r="L72" i="21"/>
  <c r="L114" i="21"/>
  <c r="L94" i="21"/>
  <c r="I6" i="23"/>
  <c r="L49" i="21"/>
  <c r="F1953" i="3"/>
  <c r="L1559" i="3"/>
  <c r="L82" i="21"/>
  <c r="Z12" i="25"/>
  <c r="L23" i="21"/>
  <c r="F1732" i="3"/>
  <c r="S1732" i="3" s="1"/>
  <c r="S1236" i="1"/>
  <c r="L46" i="21"/>
  <c r="F2307" i="3"/>
  <c r="F1879" i="3"/>
  <c r="J1879" i="3" s="1"/>
  <c r="I23" i="23"/>
  <c r="F1991" i="3"/>
  <c r="L175" i="21"/>
  <c r="F727" i="2"/>
  <c r="Y11" i="25" s="1"/>
  <c r="L36" i="21"/>
  <c r="I24" i="23"/>
  <c r="L18" i="22"/>
  <c r="L67" i="21"/>
  <c r="I25" i="23"/>
  <c r="I28" i="23"/>
  <c r="T342" i="5"/>
  <c r="T2" i="5" s="1"/>
  <c r="O10" i="25" s="1"/>
  <c r="L126" i="21"/>
  <c r="L133" i="21"/>
  <c r="L130" i="21"/>
  <c r="L122" i="21"/>
  <c r="L131" i="21"/>
  <c r="L129" i="21"/>
  <c r="K816" i="5"/>
  <c r="M2" i="5"/>
  <c r="H10" i="25" s="1"/>
  <c r="U619" i="5"/>
  <c r="L124" i="21"/>
  <c r="L161" i="21"/>
  <c r="K723" i="5"/>
  <c r="L139" i="21"/>
  <c r="L141" i="21"/>
  <c r="L147" i="21"/>
  <c r="U687" i="5"/>
  <c r="L136" i="21"/>
  <c r="L28" i="22"/>
  <c r="I13" i="23"/>
  <c r="L14" i="22"/>
  <c r="F953" i="1"/>
  <c r="K68" i="28" s="1"/>
  <c r="L38" i="21"/>
  <c r="L26" i="21"/>
  <c r="T1149" i="1"/>
  <c r="L18" i="21"/>
  <c r="L20" i="21"/>
  <c r="J1415" i="1"/>
  <c r="L18" i="8"/>
  <c r="L22" i="8"/>
  <c r="L44" i="21"/>
  <c r="L37" i="8"/>
  <c r="L173" i="21"/>
  <c r="L170" i="21"/>
  <c r="S545" i="2"/>
  <c r="S2" i="2" s="1"/>
  <c r="L11" i="25" s="1"/>
  <c r="L168" i="21"/>
  <c r="L169" i="21"/>
  <c r="L164" i="21"/>
  <c r="M395" i="2"/>
  <c r="M327" i="2"/>
  <c r="F2489" i="3"/>
  <c r="I35" i="23"/>
  <c r="L76" i="21"/>
  <c r="L20" i="22"/>
  <c r="F1917" i="3"/>
  <c r="J1917" i="3" s="1"/>
  <c r="L110" i="21"/>
  <c r="F2067" i="3"/>
  <c r="J2067" i="3" s="1"/>
  <c r="I42" i="23"/>
  <c r="L113" i="21"/>
  <c r="I27" i="23"/>
  <c r="L69" i="21"/>
  <c r="L16" i="22"/>
  <c r="L115" i="21"/>
  <c r="I14" i="23"/>
  <c r="L58" i="21"/>
  <c r="I10" i="23"/>
  <c r="L11" i="22"/>
  <c r="L54" i="21"/>
  <c r="L75" i="21"/>
  <c r="I34" i="23"/>
  <c r="L1692" i="3"/>
  <c r="L85" i="21"/>
  <c r="S1529" i="3"/>
  <c r="I40" i="23"/>
  <c r="L22" i="22"/>
  <c r="L81" i="21"/>
  <c r="I12" i="23"/>
  <c r="L56" i="21"/>
  <c r="L13" i="22"/>
  <c r="L2164" i="3"/>
  <c r="L98" i="21"/>
  <c r="F2440" i="3"/>
  <c r="L116" i="21"/>
  <c r="I45" i="23"/>
  <c r="I18" i="23"/>
  <c r="L62" i="21"/>
  <c r="I37" i="23"/>
  <c r="L78" i="21"/>
  <c r="L50" i="21"/>
  <c r="I8" i="23"/>
  <c r="L21" i="22"/>
  <c r="L80" i="21"/>
  <c r="I39" i="23"/>
  <c r="I41" i="23"/>
  <c r="L112" i="21"/>
  <c r="I30" i="23"/>
  <c r="L71" i="21"/>
  <c r="M1127" i="3"/>
  <c r="I33" i="23"/>
  <c r="L74" i="21"/>
  <c r="L19" i="22"/>
  <c r="I9" i="23"/>
  <c r="L53" i="21"/>
  <c r="L64" i="21"/>
  <c r="L77" i="21"/>
  <c r="L48" i="21"/>
  <c r="S1470" i="1"/>
  <c r="K307" i="1"/>
  <c r="L15" i="8"/>
  <c r="L24" i="21"/>
  <c r="L42" i="8"/>
  <c r="L16" i="21"/>
  <c r="L21" i="21"/>
  <c r="L45" i="21"/>
  <c r="L41" i="8"/>
  <c r="S1442" i="1"/>
  <c r="L39" i="21"/>
  <c r="L37" i="21"/>
  <c r="L41" i="21"/>
  <c r="K428" i="1"/>
  <c r="L19" i="8"/>
  <c r="L19" i="21"/>
  <c r="L31" i="8"/>
  <c r="T1035" i="1"/>
  <c r="L35" i="21"/>
  <c r="L42" i="21"/>
  <c r="L29" i="21"/>
  <c r="L39" i="8"/>
  <c r="L43" i="21"/>
  <c r="L17" i="21"/>
  <c r="K349" i="1"/>
  <c r="L17" i="8"/>
  <c r="L22" i="21"/>
  <c r="S538" i="1"/>
  <c r="U2216" i="3" l="1"/>
  <c r="F1506" i="1"/>
  <c r="Y8" i="25" s="1"/>
  <c r="L30" i="21"/>
  <c r="K1071" i="27"/>
  <c r="K1068" i="27" s="1"/>
  <c r="I299" i="28" s="1"/>
  <c r="C11" i="31"/>
  <c r="L157" i="21"/>
  <c r="K1059" i="27"/>
  <c r="K1056" i="27" s="1"/>
  <c r="I293" i="28" s="1"/>
  <c r="C16" i="31"/>
  <c r="C22" i="31"/>
  <c r="C24" i="31" s="1"/>
  <c r="C26" i="31" s="1"/>
  <c r="F3166" i="3"/>
  <c r="Y9" i="25" s="1"/>
  <c r="K1067" i="27"/>
  <c r="K1064" i="27" s="1"/>
  <c r="I297" i="28" s="1"/>
  <c r="K1051" i="27"/>
  <c r="K1048" i="27" s="1"/>
  <c r="I289" i="28" s="1"/>
  <c r="C14" i="31"/>
  <c r="K1031" i="27"/>
  <c r="K1028" i="27" s="1"/>
  <c r="I279" i="28" s="1"/>
  <c r="C8" i="31"/>
  <c r="K1047" i="27"/>
  <c r="K1044" i="27" s="1"/>
  <c r="I287" i="28" s="1"/>
  <c r="C13" i="31"/>
  <c r="K1027" i="27"/>
  <c r="K1025" i="27" s="1"/>
  <c r="I277" i="28" s="1"/>
  <c r="C7" i="31"/>
  <c r="K1039" i="27"/>
  <c r="K1036" i="27" s="1"/>
  <c r="I283" i="28" s="1"/>
  <c r="C10" i="31"/>
  <c r="K1035" i="27"/>
  <c r="K1032" i="27" s="1"/>
  <c r="I281" i="28" s="1"/>
  <c r="C9" i="31"/>
  <c r="L150" i="21"/>
  <c r="L151" i="21"/>
  <c r="Q13" i="25"/>
  <c r="Q14" i="25" s="1"/>
  <c r="K259" i="28"/>
  <c r="Y10" i="25"/>
  <c r="F2775" i="3"/>
  <c r="L92" i="21"/>
  <c r="J1953" i="3"/>
  <c r="L93" i="21"/>
  <c r="J1991" i="3"/>
  <c r="L96" i="21"/>
  <c r="J2104" i="3"/>
  <c r="J2" i="1"/>
  <c r="F8" i="25" s="1"/>
  <c r="L99" i="21"/>
  <c r="L106" i="21"/>
  <c r="L89" i="21"/>
  <c r="M688" i="27"/>
  <c r="L84" i="21"/>
  <c r="T2" i="1"/>
  <c r="P8" i="25" s="1"/>
  <c r="K2" i="1"/>
  <c r="G8" i="25" s="1"/>
  <c r="V2" i="1"/>
  <c r="R8" i="25" s="1"/>
  <c r="R13" i="25" s="1"/>
  <c r="R14" i="25" s="1"/>
  <c r="R17" i="25" s="1"/>
  <c r="P2" i="1"/>
  <c r="L8" i="25" s="1"/>
  <c r="L13" i="25" s="1"/>
  <c r="L14" i="25" s="1"/>
  <c r="N2" i="1"/>
  <c r="J8" i="25" s="1"/>
  <c r="J13" i="25" s="1"/>
  <c r="J14" i="25" s="1"/>
  <c r="K121" i="28"/>
  <c r="L52" i="21"/>
  <c r="M761" i="27"/>
  <c r="M177" i="27"/>
  <c r="K66" i="28"/>
  <c r="L146" i="21"/>
  <c r="K1020" i="27"/>
  <c r="K1017" i="27" s="1"/>
  <c r="I273" i="28" s="1"/>
  <c r="K1043" i="27"/>
  <c r="K1040" i="27" s="1"/>
  <c r="I285" i="28" s="1"/>
  <c r="M407" i="27"/>
  <c r="K301" i="28"/>
  <c r="M1072" i="27"/>
  <c r="K220" i="28"/>
  <c r="K179" i="28"/>
  <c r="M643" i="27"/>
  <c r="K183" i="28"/>
  <c r="M655" i="27"/>
  <c r="K189" i="28"/>
  <c r="M672" i="27"/>
  <c r="L105" i="21"/>
  <c r="K207" i="28"/>
  <c r="M725" i="27"/>
  <c r="K187" i="28"/>
  <c r="M666" i="27"/>
  <c r="L111" i="21"/>
  <c r="K217" i="28"/>
  <c r="M754" i="27"/>
  <c r="T309" i="3"/>
  <c r="T2" i="3" s="1"/>
  <c r="O9" i="25" s="1"/>
  <c r="K103" i="28"/>
  <c r="K177" i="28"/>
  <c r="M637" i="27"/>
  <c r="L1598" i="3"/>
  <c r="K163" i="28"/>
  <c r="M596" i="27"/>
  <c r="K175" i="28"/>
  <c r="M630" i="27"/>
  <c r="M774" i="27"/>
  <c r="I221" i="28"/>
  <c r="K209" i="28"/>
  <c r="M731" i="27"/>
  <c r="K205" i="28"/>
  <c r="M719" i="27"/>
  <c r="L86" i="21"/>
  <c r="K169" i="28"/>
  <c r="M613" i="27"/>
  <c r="U2307" i="3"/>
  <c r="K199" i="28"/>
  <c r="M700" i="27"/>
  <c r="K181" i="28"/>
  <c r="M649" i="27"/>
  <c r="L87" i="21"/>
  <c r="K171" i="28"/>
  <c r="M619" i="27"/>
  <c r="U2266" i="3"/>
  <c r="K197" i="28"/>
  <c r="M694" i="27"/>
  <c r="K165" i="28"/>
  <c r="M602" i="27"/>
  <c r="U2395" i="3"/>
  <c r="K203" i="28"/>
  <c r="M712" i="27"/>
  <c r="U2349" i="3"/>
  <c r="K201" i="28"/>
  <c r="M706" i="27"/>
  <c r="M946" i="27"/>
  <c r="I260" i="28"/>
  <c r="K261" i="28" s="1"/>
  <c r="I30" i="28"/>
  <c r="K30" i="28"/>
  <c r="M356" i="27"/>
  <c r="I111" i="28"/>
  <c r="K1072" i="27"/>
  <c r="I301" i="28" s="1"/>
  <c r="N2" i="2"/>
  <c r="G11" i="25" s="1"/>
  <c r="M2" i="2"/>
  <c r="F11" i="25" s="1"/>
  <c r="K288" i="27"/>
  <c r="M922" i="27"/>
  <c r="L90" i="21"/>
  <c r="I22" i="23"/>
  <c r="I3" i="23" s="1"/>
  <c r="M2" i="3"/>
  <c r="H9" i="25" s="1"/>
  <c r="H13" i="25" s="1"/>
  <c r="H14" i="25" s="1"/>
  <c r="L83" i="21"/>
  <c r="R2" i="3"/>
  <c r="M9" i="25" s="1"/>
  <c r="M13" i="25" s="1"/>
  <c r="M14" i="25" s="1"/>
  <c r="L2489" i="3"/>
  <c r="M46" i="27"/>
  <c r="L32" i="21"/>
  <c r="M183" i="27"/>
  <c r="S879" i="1"/>
  <c r="M171" i="27"/>
  <c r="L31" i="21"/>
  <c r="L33" i="21"/>
  <c r="L101" i="21"/>
  <c r="F27" i="25"/>
  <c r="L2" i="2"/>
  <c r="E11" i="25" s="1"/>
  <c r="L152" i="21"/>
  <c r="L160" i="21"/>
  <c r="L154" i="21"/>
  <c r="L158" i="21"/>
  <c r="L159" i="21"/>
  <c r="K5" i="23"/>
  <c r="U2" i="5"/>
  <c r="P10" i="25" s="1"/>
  <c r="L155" i="21"/>
  <c r="K2" i="5"/>
  <c r="F10" i="25" s="1"/>
  <c r="L162" i="21"/>
  <c r="K4" i="23"/>
  <c r="L177" i="21"/>
  <c r="L3" i="23" s="1"/>
  <c r="S2" i="3"/>
  <c r="N9" i="25" s="1"/>
  <c r="N13" i="25" s="1"/>
  <c r="N14" i="25" s="1"/>
  <c r="L95" i="21"/>
  <c r="L91" i="21"/>
  <c r="L2440" i="3"/>
  <c r="L104" i="21"/>
  <c r="L25" i="22"/>
  <c r="L30" i="22" s="1"/>
  <c r="L32" i="22" s="1"/>
  <c r="I14" i="25"/>
  <c r="C18" i="31" l="1"/>
  <c r="J2" i="3"/>
  <c r="E9" i="25" s="1"/>
  <c r="E13" i="25" s="1"/>
  <c r="Y13" i="25"/>
  <c r="S2" i="1"/>
  <c r="O8" i="25" s="1"/>
  <c r="X8" i="25" s="1"/>
  <c r="L301" i="28"/>
  <c r="L120" i="21"/>
  <c r="U2" i="3"/>
  <c r="P9" i="25" s="1"/>
  <c r="P13" i="25" s="1"/>
  <c r="P14" i="25" s="1"/>
  <c r="P15" i="25" s="1"/>
  <c r="L47" i="21"/>
  <c r="G3" i="23" s="1"/>
  <c r="K829" i="27"/>
  <c r="I233" i="28" s="1"/>
  <c r="K222" i="28"/>
  <c r="I222" i="28"/>
  <c r="K233" i="28"/>
  <c r="M829" i="27"/>
  <c r="K97" i="28"/>
  <c r="M288" i="27"/>
  <c r="N288" i="27" s="1"/>
  <c r="I27" i="28"/>
  <c r="I97" i="28"/>
  <c r="I112" i="28"/>
  <c r="K112" i="28"/>
  <c r="N1072" i="27"/>
  <c r="L2" i="5"/>
  <c r="G10" i="25" s="1"/>
  <c r="X10" i="25" s="1"/>
  <c r="Z10" i="25" s="1"/>
  <c r="L2" i="3"/>
  <c r="G9" i="25" s="1"/>
  <c r="X11" i="25"/>
  <c r="Z11" i="25" s="1"/>
  <c r="K2" i="3"/>
  <c r="F9" i="25" s="1"/>
  <c r="F13" i="25" s="1"/>
  <c r="K3" i="23"/>
  <c r="E14" i="25" l="1"/>
  <c r="Z8" i="25"/>
  <c r="O13" i="25"/>
  <c r="F14" i="25"/>
  <c r="O120" i="21"/>
  <c r="L178" i="21"/>
  <c r="K1213" i="27"/>
  <c r="I339" i="28" s="1"/>
  <c r="L233" i="28"/>
  <c r="N829" i="27"/>
  <c r="L97" i="28"/>
  <c r="G13" i="25"/>
  <c r="G14" i="25" s="1"/>
  <c r="X9" i="25"/>
  <c r="Z9" i="25" s="1"/>
  <c r="M3" i="23"/>
  <c r="N3" i="23" s="1"/>
  <c r="M13" i="23"/>
  <c r="X13" i="25" l="1"/>
  <c r="F28" i="25"/>
  <c r="M43" i="27"/>
  <c r="N43" i="27" s="1"/>
  <c r="K27" i="28"/>
  <c r="L27" i="28" s="1"/>
  <c r="O14" i="25"/>
  <c r="K1214" i="27"/>
  <c r="I340" i="28" s="1"/>
  <c r="X14" i="25" l="1"/>
  <c r="Z13" i="25"/>
</calcChain>
</file>

<file path=xl/sharedStrings.xml><?xml version="1.0" encoding="utf-8"?>
<sst xmlns="http://schemas.openxmlformats.org/spreadsheetml/2006/main" count="17156" uniqueCount="2997">
  <si>
    <t>RENCANA ANGGARAN BIAYA</t>
  </si>
  <si>
    <t>DESA PENATIH DANGIN PURI</t>
  </si>
  <si>
    <t xml:space="preserve">Bidang              </t>
  </si>
  <si>
    <t>: Penyelenggaraan Pemerintahan Desa</t>
  </si>
  <si>
    <t xml:space="preserve">Sub Bidang       </t>
  </si>
  <si>
    <t>: Penyelenggaraan Belanja Penghasilan Tetap, Tunjangan dan Operasional Pemerintah Desa ( Maksimal 30% )</t>
  </si>
  <si>
    <t>No. RAB</t>
  </si>
  <si>
    <t xml:space="preserve">Kegiatan           </t>
  </si>
  <si>
    <t>: Penyediaan Penghasilan tetap dan Tunjangan Perbekel</t>
  </si>
  <si>
    <t xml:space="preserve">Sumber Dana        </t>
  </si>
  <si>
    <t>Rincian Pendanaan  :</t>
  </si>
  <si>
    <t>URAIAN</t>
  </si>
  <si>
    <t>VOLUME</t>
  </si>
  <si>
    <t>HARGA SATUAN (Rp)</t>
  </si>
  <si>
    <t>JUMLAH (Rp)</t>
  </si>
  <si>
    <t>1.1.01.5.1</t>
  </si>
  <si>
    <t xml:space="preserve">Belanja Pegawai </t>
  </si>
  <si>
    <t>1.1.01.5.1.1</t>
  </si>
  <si>
    <t>Penghasilan tetap dan Tunjangan Perbekel</t>
  </si>
  <si>
    <t>1.1.01.5.1.1.01</t>
  </si>
  <si>
    <t>Penghasilan Tetap Perbekel</t>
  </si>
  <si>
    <t>ob</t>
  </si>
  <si>
    <t>1.1.01.5.1.1.02</t>
  </si>
  <si>
    <t>Penghasilan ke 13</t>
  </si>
  <si>
    <t>Tunjangan Perbekel</t>
  </si>
  <si>
    <t>Tunjangan Hari Raya</t>
  </si>
  <si>
    <t>Jumlah</t>
  </si>
  <si>
    <t xml:space="preserve">                           </t>
  </si>
  <si>
    <t>Perbekel  Desa Penatih Dangin Puri</t>
  </si>
  <si>
    <t>I Wayan Kamar</t>
  </si>
  <si>
    <t>No.</t>
  </si>
  <si>
    <t>U R A I A N</t>
  </si>
  <si>
    <t>HARGA SATUAN (Rp.)</t>
  </si>
  <si>
    <t>JUMLAH (Rp.)</t>
  </si>
  <si>
    <t>Ket.</t>
  </si>
  <si>
    <t xml:space="preserve">Waktu Pelaksanaan : </t>
  </si>
  <si>
    <t>: Penyediaan Penghasilan tetap dan Tunjangan Perangkat Desa</t>
  </si>
  <si>
    <t xml:space="preserve">Waktu Pelaksanaan </t>
  </si>
  <si>
    <t xml:space="preserve">Rincian Pendanaan  : </t>
  </si>
  <si>
    <t>1.1.02.5.1</t>
  </si>
  <si>
    <t>1.1.02.5.1.2</t>
  </si>
  <si>
    <t>Penghasilan tetap dan Tunjangan Perangkat Desa</t>
  </si>
  <si>
    <t>1.1.02.5.1.2.01</t>
  </si>
  <si>
    <t>Penghasilan tetap Perangkat Desa</t>
  </si>
  <si>
    <t xml:space="preserve">Sekdes  </t>
  </si>
  <si>
    <t>Kaur , Kasi  (6 orang X 12bln)</t>
  </si>
  <si>
    <t>Kepala Dusun (8 Orang X12bln)</t>
  </si>
  <si>
    <t>1.1.02.5.1.2.02</t>
  </si>
  <si>
    <t>Tunjangan Perangkat Desa</t>
  </si>
  <si>
    <t>Tunjangan Sekdes</t>
  </si>
  <si>
    <t>Penghasilan Ke 13 Sekdes</t>
  </si>
  <si>
    <t>Tunjangan Perangkat Desa (Kaur, kasi 6 Orang X 12)</t>
  </si>
  <si>
    <t>Penghasilan  Ke 13 Kasi kaur</t>
  </si>
  <si>
    <t>Tunjangan Hari Raya Kasi Kaur</t>
  </si>
  <si>
    <t>Tunjangan Perangkat Desa (Kepala Dusun 8 Orang X 12)</t>
  </si>
  <si>
    <t>Penghasilan Ke 13 Kepala Dusun</t>
  </si>
  <si>
    <t>Tunjangan Hari Raya Kepala Dusun</t>
  </si>
  <si>
    <t>Penyelenggaraan Pemerintahan Desa</t>
  </si>
  <si>
    <t>:Penyelenggaraan Belanja Penghasilan Tetap, Tunjangan dan Operasional Pemerintah Desa ( Maksimal 30% )</t>
  </si>
  <si>
    <t>Penyediaan Jaminan Kesehatan dan Ketenaga Kerjaan Bagi Perbekel dan Perangkat Desa</t>
  </si>
  <si>
    <t xml:space="preserve">Waktu Pelaksanaan   </t>
  </si>
  <si>
    <t>: 12 Bulan</t>
  </si>
  <si>
    <t xml:space="preserve">Rincian Pendanaan </t>
  </si>
  <si>
    <t>:</t>
  </si>
  <si>
    <t>1.1.03.5.1</t>
  </si>
  <si>
    <t>Belanja Pegawai :</t>
  </si>
  <si>
    <t>1.1.03.5.1.3</t>
  </si>
  <si>
    <t>Jaminan sosial Perbekel dan Perangkat Desa</t>
  </si>
  <si>
    <t>1.1.03.5.1.3.01</t>
  </si>
  <si>
    <t xml:space="preserve">Jaminan Kesehatan perbekel </t>
  </si>
  <si>
    <t>1.1.03.5.1.3.02</t>
  </si>
  <si>
    <t>Jaminan Kesehatan Perangkat Desa</t>
  </si>
  <si>
    <t>Jaminan Kesehatan Sekdes</t>
  </si>
  <si>
    <t>Jaminan Kesehatan Kasi, Kaur (6or x 12Bln)</t>
  </si>
  <si>
    <t>Jaminan Kesehatan Kadus (8or x 12bln)</t>
  </si>
  <si>
    <t>1.1.03.5.1.3.03</t>
  </si>
  <si>
    <t>Jaminan Ketenagakerjaan Perbekel</t>
  </si>
  <si>
    <t>1.1.03.5.1.3.04</t>
  </si>
  <si>
    <t>Jaminan Ketenagakerajaan Perangkat Desa</t>
  </si>
  <si>
    <t>Jaminan Ketenagakerjaan Sekdes</t>
  </si>
  <si>
    <t>Jaminan Ketenagakerjaan Kaur &amp; Kasi (6 or x 6 bln)</t>
  </si>
  <si>
    <t>Jaminan Ketenagakerjaan Kepala Dusun ( 8 or x 6Bln )</t>
  </si>
  <si>
    <t>: Penyediaan Operasional Pemerintah Desa</t>
  </si>
  <si>
    <t>1.1.04.5.2</t>
  </si>
  <si>
    <t>Belanja Barang Jasa :</t>
  </si>
  <si>
    <t>1.1.04.5.2.1</t>
  </si>
  <si>
    <t>Belanja Barang Perlengkapan</t>
  </si>
  <si>
    <t>1.1.04.5.2.1.01</t>
  </si>
  <si>
    <t>Belanja perlengkapan alat tulis kantor dan Benda Pos</t>
  </si>
  <si>
    <t>rim</t>
  </si>
  <si>
    <t>Isi Staples No.10 max</t>
  </si>
  <si>
    <t>Box</t>
  </si>
  <si>
    <t>Buah</t>
  </si>
  <si>
    <t>Clip Segul No.5</t>
  </si>
  <si>
    <t>Map Endek Bali Tebal</t>
  </si>
  <si>
    <t>buah</t>
  </si>
  <si>
    <t>Stop Map Bening</t>
  </si>
  <si>
    <t>Bolpoin Baliner</t>
  </si>
  <si>
    <t>Pensil Lumograf 2B</t>
  </si>
  <si>
    <t>Materai 10000</t>
  </si>
  <si>
    <t>Bantalan Stampel</t>
  </si>
  <si>
    <t>Spidol Whiteboard snowman</t>
  </si>
  <si>
    <t>btl</t>
  </si>
  <si>
    <t>Box Arsip</t>
  </si>
  <si>
    <t>Sekat Atau Guide Arsip</t>
  </si>
  <si>
    <t>Batre Cash</t>
  </si>
  <si>
    <t>paket</t>
  </si>
  <si>
    <t>Foto Copy</t>
  </si>
  <si>
    <t>Lbr</t>
  </si>
  <si>
    <t>Note Book</t>
  </si>
  <si>
    <t>bh</t>
  </si>
  <si>
    <t>Kalkulator</t>
  </si>
  <si>
    <t>1.1.04.5.2.1.02</t>
  </si>
  <si>
    <t>Belanja Perlengkapan alat alat listrik</t>
  </si>
  <si>
    <t>Lampu Ruangan LED</t>
  </si>
  <si>
    <t>unit</t>
  </si>
  <si>
    <t>1.1.04.5.2.1.03</t>
  </si>
  <si>
    <t xml:space="preserve">Belanja perlengkapan alat alat rumah tangga/peralatan dan Bahan kebersihan </t>
  </si>
  <si>
    <t>Sapu ijuk</t>
  </si>
  <si>
    <t>Sapu Lidi</t>
  </si>
  <si>
    <t>Korok WC Plastik</t>
  </si>
  <si>
    <t>bks</t>
  </si>
  <si>
    <t>Botol</t>
  </si>
  <si>
    <t>botol</t>
  </si>
  <si>
    <t>1.1.04.5.2.1.04</t>
  </si>
  <si>
    <t>Belanja bahan bakar minyak/ gas/ isi ulang tabung pemadam kebakaran</t>
  </si>
  <si>
    <t>BBM Motor Dinas 3 unit x 12 bln</t>
  </si>
  <si>
    <t>bln</t>
  </si>
  <si>
    <t>BBM Mobil Dinas 1 unit x 12 Bln</t>
  </si>
  <si>
    <t>liter</t>
  </si>
  <si>
    <t>Isi ulang Gas LPG 12Kg   1/2 tabug x 12 bln</t>
  </si>
  <si>
    <t>kali</t>
  </si>
  <si>
    <t>1.1.04.5.2.1.05</t>
  </si>
  <si>
    <t xml:space="preserve">Belanja Perlengkapan Cetak/ pengadaan - Belanja barang cetak dan pengadaan </t>
  </si>
  <si>
    <t>Cetak Buku Administrasi Kepal Dusun</t>
  </si>
  <si>
    <t>Cetak lembar disposisi</t>
  </si>
  <si>
    <t>lembar</t>
  </si>
  <si>
    <t>Kartu Indek</t>
  </si>
  <si>
    <t>Set</t>
  </si>
  <si>
    <t>Cetak Buku Exspedisi</t>
  </si>
  <si>
    <t>Cetak Buk Surat Keputusan</t>
  </si>
  <si>
    <t>Cetak Buku Agenda Kependudukan</t>
  </si>
  <si>
    <t>Cetak Buku Administrasi Keuangan</t>
  </si>
  <si>
    <t>Cetak Buku Agenda Umum</t>
  </si>
  <si>
    <t>Cetak Buku Notulen Rapat</t>
  </si>
  <si>
    <t>Cetak buku aset pembangunan</t>
  </si>
  <si>
    <t>Cetak Buku Kader</t>
  </si>
  <si>
    <t>Cetak Map Kertas Kop Desa</t>
  </si>
  <si>
    <t>Pengadaan Papan Struktur Organisasi</t>
  </si>
  <si>
    <t>Pengadaan Papan Pelayanan dan Informasi</t>
  </si>
  <si>
    <t>1.1.04.5.2.1.06</t>
  </si>
  <si>
    <t>Belanja perlengkapan barang konsumsi (makan/ minum) Belanja Barang konsumsi</t>
  </si>
  <si>
    <t xml:space="preserve">Air kemasan </t>
  </si>
  <si>
    <t>dus</t>
  </si>
  <si>
    <t>Air Isi Ulang (air Galon )</t>
  </si>
  <si>
    <t>gln</t>
  </si>
  <si>
    <t>Kopi</t>
  </si>
  <si>
    <t>bungkus</t>
  </si>
  <si>
    <t>Gula</t>
  </si>
  <si>
    <t>Kg</t>
  </si>
  <si>
    <t>Konsumsi Tamu</t>
  </si>
  <si>
    <t>ktk</t>
  </si>
  <si>
    <t>1.1.04.5.2.1.07</t>
  </si>
  <si>
    <t xml:space="preserve">Belanja bahan/ material </t>
  </si>
  <si>
    <t>-Canang Sehari hari (500 X12 BULAN)</t>
  </si>
  <si>
    <t>Tanding</t>
  </si>
  <si>
    <t>1.1.04.5.2.1.08</t>
  </si>
  <si>
    <t>Belanja bendera/ umbul umbul/ spanduk</t>
  </si>
  <si>
    <t>Spanduk Untuk Memperingati Hari Hari Bersejarah</t>
  </si>
  <si>
    <t>Bendera Merah Putih 1 x 1,5</t>
  </si>
  <si>
    <t>Umbul umbul Merah Putih</t>
  </si>
  <si>
    <t>lonjor</t>
  </si>
  <si>
    <t>Dekorasi hiasan perayaan hari besar</t>
  </si>
  <si>
    <t>1.1.04.5.2.1.09</t>
  </si>
  <si>
    <t>Belanja Pakaian Dinas/ seragam/ atribut</t>
  </si>
  <si>
    <t>Setel</t>
  </si>
  <si>
    <t>1.1.04.5.2.1.10</t>
  </si>
  <si>
    <t>Belanja obat obatan</t>
  </si>
  <si>
    <t>set</t>
  </si>
  <si>
    <t>1.1.04.5.2.2</t>
  </si>
  <si>
    <t>Belanja jasa honorarium</t>
  </si>
  <si>
    <t>1.1.04.5.2.2.01</t>
  </si>
  <si>
    <t>Belanja jasa honorarium Tim yang melaksanakan kegiatan</t>
  </si>
  <si>
    <t>Honorarium PKPKD</t>
  </si>
  <si>
    <t>bulan</t>
  </si>
  <si>
    <t xml:space="preserve">Honorarium Kordinator PPKD </t>
  </si>
  <si>
    <t>Honorarium PPKD ( 6 or x 12 bln )</t>
  </si>
  <si>
    <t>Honor TPK Bidang I</t>
  </si>
  <si>
    <t>Ketua</t>
  </si>
  <si>
    <t>Sekretaris</t>
  </si>
  <si>
    <t>Anggota (3 orang )</t>
  </si>
  <si>
    <t>1.1.04.5.2.3</t>
  </si>
  <si>
    <t>Belanja Perjalanan Dinas</t>
  </si>
  <si>
    <t>1.1.04.5.2.3.02</t>
  </si>
  <si>
    <t>Perjalanan Dinas Luar Kabupaten/ Kota</t>
  </si>
  <si>
    <t>tahun</t>
  </si>
  <si>
    <t>1.1.04.5.2.5</t>
  </si>
  <si>
    <t>Belanja Operasional Perkantoran</t>
  </si>
  <si>
    <t>1.1.04.5.2.5.01</t>
  </si>
  <si>
    <t>Belanja jasa layanan listrik</t>
  </si>
  <si>
    <t>1.1.04.5.2.5.03</t>
  </si>
  <si>
    <t>Belanja jasa langganan majalah/ surat kabar</t>
  </si>
  <si>
    <t>1.1.04.5.2.5.04</t>
  </si>
  <si>
    <t>Belanja jasa langganan telepon</t>
  </si>
  <si>
    <t>1.1.04.5.2.5.05</t>
  </si>
  <si>
    <t>Belanja jasa langganan internet</t>
  </si>
  <si>
    <t>1.1.04.5.2.5.07</t>
  </si>
  <si>
    <t>Belanja Jasa Perpanjangan ijin/ pajak</t>
  </si>
  <si>
    <t>Samsat Motor Dinas 1</t>
  </si>
  <si>
    <t>samsat Motor Dinas 2</t>
  </si>
  <si>
    <t>Samsat Motor Dinas 3</t>
  </si>
  <si>
    <t>Samsat Mobil Dinas</t>
  </si>
  <si>
    <t>Samsat Motor Linmas (2Motor)</t>
  </si>
  <si>
    <t>Samsat Mobil Linmas</t>
  </si>
  <si>
    <t>1.1.04.5.2.6</t>
  </si>
  <si>
    <t>Belanja Pemeliharaan</t>
  </si>
  <si>
    <t>1.1.04.5.2.6.02</t>
  </si>
  <si>
    <t>Belanja Pemeliharaan Kendaraan Bermotor</t>
  </si>
  <si>
    <t>Pemeliharaan Kendaraan Dinas</t>
  </si>
  <si>
    <t>th</t>
  </si>
  <si>
    <t>Spare Part Motor Dinas 3 x 1thn</t>
  </si>
  <si>
    <t>thn</t>
  </si>
  <si>
    <t>kl</t>
  </si>
  <si>
    <t>Spare Part Mobil Dinas</t>
  </si>
  <si>
    <t>Service HP Android</t>
  </si>
  <si>
    <t>1.1.04.5.2.6.03</t>
  </si>
  <si>
    <t xml:space="preserve">Belanja pemeliharaan peralatan </t>
  </si>
  <si>
    <t>Pemeliharaan TV</t>
  </si>
  <si>
    <t>Pemeliharaan 1 unit Camera LSR</t>
  </si>
  <si>
    <t>Unit</t>
  </si>
  <si>
    <t>Pemeliharaan Projektor</t>
  </si>
  <si>
    <t>Pemeliharaan set Sound Sistem</t>
  </si>
  <si>
    <t>Pemeliharaan Mesin Absensi</t>
  </si>
  <si>
    <t>Pemeliharaan  Repeater Radio Amatir</t>
  </si>
  <si>
    <t>Pemeliharaan CCTV</t>
  </si>
  <si>
    <t>Pemeliharaan Pintu</t>
  </si>
  <si>
    <t>1.1.04.5.2.6.08</t>
  </si>
  <si>
    <t>Belanja pemeliharaan jaringan dan instalasi ( Lisrik, Telepon, Internet, Kominikasi, Dll)</t>
  </si>
  <si>
    <t xml:space="preserve">Pemeliharaan jaringan listrik </t>
  </si>
  <si>
    <t>Pemeliharaan LAN Hub jaringan internet</t>
  </si>
  <si>
    <t>Pemeliharaan Kabel jaringan internet</t>
  </si>
  <si>
    <t>Pemelihaan Kran Air</t>
  </si>
  <si>
    <t>Pemeliharaan Pipa Air dan Pembuangan</t>
  </si>
  <si>
    <t>Pemeliharaan Kabel telepon</t>
  </si>
  <si>
    <t>Pemerihaan Pesawat tlpn</t>
  </si>
  <si>
    <t>Waktu Pelaksanaan : 12 Bulan</t>
  </si>
  <si>
    <t xml:space="preserve">Bidang           </t>
  </si>
  <si>
    <t xml:space="preserve">Sub Bidang    </t>
  </si>
  <si>
    <t>: Penyediaan tunjangan BPD</t>
  </si>
  <si>
    <t>1.1.05.5.1</t>
  </si>
  <si>
    <t>Belanja Pegawai</t>
  </si>
  <si>
    <t>1.1.05.5.1.4</t>
  </si>
  <si>
    <t>Tunjangan BPD</t>
  </si>
  <si>
    <t>1.1.05.5.1.4.01</t>
  </si>
  <si>
    <t>Tunjangan Kedudukan BPD</t>
  </si>
  <si>
    <t>Tunjangan Hari Raya Ketua</t>
  </si>
  <si>
    <t>Wakil  Ketua</t>
  </si>
  <si>
    <t>Tunjangan Hari Raya Wakil Ketua</t>
  </si>
  <si>
    <t>Tunjangan Hari Raya Sekretaris</t>
  </si>
  <si>
    <t>Tunjangan Hari Raya Anggota</t>
  </si>
  <si>
    <t>12 Bulan</t>
  </si>
  <si>
    <t xml:space="preserve">Bidang               </t>
  </si>
  <si>
    <t xml:space="preserve">Sub Bidang        </t>
  </si>
  <si>
    <t xml:space="preserve">Kegiatan </t>
  </si>
  <si>
    <t>: Penyediaan Operasional BPD</t>
  </si>
  <si>
    <t>NO</t>
  </si>
  <si>
    <t>KET</t>
  </si>
  <si>
    <t>1.1.06.5.2</t>
  </si>
  <si>
    <t>1.1.06.5.2.1</t>
  </si>
  <si>
    <t>1.1.06.5.2.1.01</t>
  </si>
  <si>
    <t>Belanja alat tulis kantor dan benda pos</t>
  </si>
  <si>
    <t>Bolpoint</t>
  </si>
  <si>
    <t>bj</t>
  </si>
  <si>
    <t>Cetak Buku Administrasi</t>
  </si>
  <si>
    <t>Buku agenda rapat</t>
  </si>
  <si>
    <t>Poto copy</t>
  </si>
  <si>
    <t>lbr</t>
  </si>
  <si>
    <t>1.1.06.5.2.1.06</t>
  </si>
  <si>
    <t>Konsumsi Rapat-rapat (20orang x 1 kali x 12 Bln)</t>
  </si>
  <si>
    <t>or</t>
  </si>
  <si>
    <t>Konsumsi Monitoring ( 2x1tahun )</t>
  </si>
  <si>
    <t>1.1.06.5.2.1.09</t>
  </si>
  <si>
    <t>1.1.06.5.2.1.90</t>
  </si>
  <si>
    <t>Belanja Upakara, Upacara Dan Aci</t>
  </si>
  <si>
    <t>Pejati Rapat</t>
  </si>
  <si>
    <t>Canang</t>
  </si>
  <si>
    <t>: Penyediaan Operasional BPD (Musyawarah BPD)</t>
  </si>
  <si>
    <t>Belanja Barang Jasa</t>
  </si>
  <si>
    <t>Belanja Perlengkapan Alat Tulis Kantor dan Benda Pos</t>
  </si>
  <si>
    <t>1.1.06.5.2.1.05</t>
  </si>
  <si>
    <t>Belanja perlengkapan cetak/pengadaan - belanja barang cetak dan pengadaan</t>
  </si>
  <si>
    <t>potocopy</t>
  </si>
  <si>
    <t>Spanduk kegiatan</t>
  </si>
  <si>
    <t>Belanja perlengkapan barang konsumsi (makan/minum)- Belanja Barang Konsumsi</t>
  </si>
  <si>
    <t xml:space="preserve">Konsumsi 50 or x  8 kali </t>
  </si>
  <si>
    <t>Belanja Upakara, Upacara Dan Aci- Aci</t>
  </si>
  <si>
    <t>Belanja Aci (pejati)</t>
  </si>
  <si>
    <t>soroh</t>
  </si>
  <si>
    <t>Canang Sari</t>
  </si>
  <si>
    <t>Dupa</t>
  </si>
  <si>
    <t>Bungkus</t>
  </si>
  <si>
    <t xml:space="preserve">: Penyediaan Penghasilan Staf Desa </t>
  </si>
  <si>
    <t>1.1.91.5.2</t>
  </si>
  <si>
    <t>1.1.91.5.2.2</t>
  </si>
  <si>
    <t>Belanja Jasa Honorarium</t>
  </si>
  <si>
    <t>1.1.91.5.2.2.90</t>
  </si>
  <si>
    <t>Belanja Pengasilan Staf</t>
  </si>
  <si>
    <t>Penghasilan  Staff  Admin. Siskeudes</t>
  </si>
  <si>
    <t>Penghasilan Staff Admin. BPD</t>
  </si>
  <si>
    <t>Penghasilan Staff IT</t>
  </si>
  <si>
    <t>: Penyelenggaraan Pemerintah Desa</t>
  </si>
  <si>
    <t>: Administasi Kependudukan, Pencatatan Sipil, Statistik, dan Kearsipan</t>
  </si>
  <si>
    <t>: Pendataan Administrasi Penduduk Non Permanen (Penertiban Penduduk Pendatang dan Sidak Dialogis)</t>
  </si>
  <si>
    <t>1.3.90.5.2</t>
  </si>
  <si>
    <t>Belanja Barang dan Jasa</t>
  </si>
  <si>
    <t>1.3.90.5.2.1</t>
  </si>
  <si>
    <t>1.3.90.5.2.1.06</t>
  </si>
  <si>
    <t>Belanja Perlengkapan Barang Konsumsi</t>
  </si>
  <si>
    <t>Konsumsi Rapat Penertiban Penduduk Pendatang (64or x 2Kali)</t>
  </si>
  <si>
    <t>Konsumsi Sidak Dialogis 45or x 2 kali</t>
  </si>
  <si>
    <t>Belanaja Bahan Meterial</t>
  </si>
  <si>
    <t>Masker</t>
  </si>
  <si>
    <t>box</t>
  </si>
  <si>
    <t>1.3.90.5.2.2</t>
  </si>
  <si>
    <t>1.3.90.5.2.2.05</t>
  </si>
  <si>
    <t>Belanja Jasa Honorium Petugas</t>
  </si>
  <si>
    <t>Honor Tim Penertiban  (17Or x8 Dusunx 2 putaran)</t>
  </si>
  <si>
    <t xml:space="preserve"> oh </t>
  </si>
  <si>
    <t>: Administrasi Kependudukan, Pencatatan Sipil, Statistik Dan Kearsipan</t>
  </si>
  <si>
    <t>Sumber Dana</t>
  </si>
  <si>
    <t>: Penyusunan/ Pendataan/Pemuktahiran Profil Desa (Profil Kependudukan dan potensi Desa )</t>
  </si>
  <si>
    <t>Pelatihan</t>
  </si>
  <si>
    <t>1.3.02.5.2</t>
  </si>
  <si>
    <t>1.3.02.5.2.1</t>
  </si>
  <si>
    <t>1.3.02.5.2.1.06</t>
  </si>
  <si>
    <t>Konsumsi 50 or x 1 kali</t>
  </si>
  <si>
    <t>1.3.02.5.2.1.08</t>
  </si>
  <si>
    <t>Belanja Bendera/ Umbul-umbul/ Spanduk</t>
  </si>
  <si>
    <t xml:space="preserve">Spanduk Kegiatan </t>
  </si>
  <si>
    <t>1.3.02.5.2.1.90</t>
  </si>
  <si>
    <t>Belanja Upakara, Upacara Dan Aci-aci</t>
  </si>
  <si>
    <t>Pejati</t>
  </si>
  <si>
    <t>Pendataan</t>
  </si>
  <si>
    <t>1.3.02.5.2.1.05</t>
  </si>
  <si>
    <t>Belanja Perlengkapan Cetak</t>
  </si>
  <si>
    <t>Cetak Blanko Data Dasar keluarga</t>
  </si>
  <si>
    <t>Cetak Blanko Potensi Desa</t>
  </si>
  <si>
    <t>Pembuatan Vidio Provil</t>
  </si>
  <si>
    <t>1.3.02.5.2.2</t>
  </si>
  <si>
    <t xml:space="preserve">Belanja Jasa Honorarium </t>
  </si>
  <si>
    <t>1.3.02.5.2.2.01</t>
  </si>
  <si>
    <t>Belanja Jasa Honorarium yang Melaksanakan Kegiatan</t>
  </si>
  <si>
    <t>Anggota</t>
  </si>
  <si>
    <t>1.3.02.5.2.2.05</t>
  </si>
  <si>
    <t>Belanja Jasa Honorarium Petugas</t>
  </si>
  <si>
    <t>Petugas Imput Data KK</t>
  </si>
  <si>
    <t>kk</t>
  </si>
  <si>
    <t>Petugas pendataan</t>
  </si>
  <si>
    <t>1.3.90.5.2.1.05</t>
  </si>
  <si>
    <t>Bidang           :</t>
  </si>
  <si>
    <t>Sub Bidang    :</t>
  </si>
  <si>
    <t>Tata Praja Pemerintahan, Perencanaan, Keuangan, dan Pelaporan</t>
  </si>
  <si>
    <t>Kegiatan           :</t>
  </si>
  <si>
    <t>Penyelenggaraan Musyawarah Desa/ Pembahasan APBDes (Musrenbangdes)</t>
  </si>
  <si>
    <t>Ket</t>
  </si>
  <si>
    <t>1.4.01.5.2</t>
  </si>
  <si>
    <t>1.4.01.5.2.1</t>
  </si>
  <si>
    <t>1.4.01.5.2.1.05</t>
  </si>
  <si>
    <t>1.4.01.5.2.1.06</t>
  </si>
  <si>
    <t>Konsumsi 100or x 2</t>
  </si>
  <si>
    <t>1.4.01.5.2.1.90</t>
  </si>
  <si>
    <t>Belanja Aci (pejati )</t>
  </si>
  <si>
    <t>Canang Gede</t>
  </si>
  <si>
    <t>1.4.01.5.2.2</t>
  </si>
  <si>
    <t>Belanja  Jasa Honorarium</t>
  </si>
  <si>
    <t>1.4.01.5.2.2.05</t>
  </si>
  <si>
    <t>Honorarium MC</t>
  </si>
  <si>
    <t>1.4.01.5.2.7</t>
  </si>
  <si>
    <t>Belanja Barang Jasa yang diserahkan kepada masyarakat</t>
  </si>
  <si>
    <t>1.4.01.5.2.7.91</t>
  </si>
  <si>
    <t>Belanja uang Saku</t>
  </si>
  <si>
    <t>Penyelenggaraan Musyawarah Desa/ Pembahasan APBDes (Musdes, Musrenbangdes/pra musrenbangdes, dll yang bersifat reguler )</t>
  </si>
  <si>
    <t>tandaing</t>
  </si>
  <si>
    <t xml:space="preserve">Dupa </t>
  </si>
  <si>
    <t>Belanja Uang Saku</t>
  </si>
  <si>
    <t>: Tata Praja Pemerintahan, Perencanaan, Keuangan, dan Pelaporan</t>
  </si>
  <si>
    <t>: Penyelenggaraan Musyawarah Desa lainya (yang bersifat non reguler )</t>
  </si>
  <si>
    <t>1.4.02.5.2</t>
  </si>
  <si>
    <t>1.4.02.5.2.1</t>
  </si>
  <si>
    <t>1.4.02.5.2.1.05</t>
  </si>
  <si>
    <t>1.4.02.5.2.1.06</t>
  </si>
  <si>
    <t>1.4.02.5.2.1.90</t>
  </si>
  <si>
    <t>1.4.02.5.2.2</t>
  </si>
  <si>
    <t>1.4.02.5.2.2.05</t>
  </si>
  <si>
    <t>1.4.02.5.2.7</t>
  </si>
  <si>
    <t>1.4.02.5.2.7.91</t>
  </si>
  <si>
    <t>: Penyusunan laporan Kepala Desa/ Penyelenggaraan Pemerintah Desa (Laporan akhir tahun anggaran )</t>
  </si>
  <si>
    <t>1.4.07.5.2</t>
  </si>
  <si>
    <t>1.4.07.5.2.1</t>
  </si>
  <si>
    <t>1.4.07.5.2.1.05</t>
  </si>
  <si>
    <t>cetak Dokumen Laporan Tahun Anggran</t>
  </si>
  <si>
    <t>1.4.04.5.2</t>
  </si>
  <si>
    <t>1.4.04.5.2.1</t>
  </si>
  <si>
    <t>1.4.04.5.2.1.05</t>
  </si>
  <si>
    <t>1.4.04.5.2.1.06</t>
  </si>
  <si>
    <t>Belanja Perlengkapan barang konsumsi (makan/minum) - Belanja barang konsumsi</t>
  </si>
  <si>
    <t>Konsumsi Kegiatan (18or x 10Kl)</t>
  </si>
  <si>
    <t>Or</t>
  </si>
  <si>
    <t>Potocopy</t>
  </si>
  <si>
    <t>Konsumsi Kegiatan (18or x 4Kali)</t>
  </si>
  <si>
    <t xml:space="preserve">Waktu Pelaksanaan      </t>
  </si>
  <si>
    <t>: Penyusunan dokumen keuangan Desa (APBDesa 2024 )</t>
  </si>
  <si>
    <t>cetak Dokumen APBDes</t>
  </si>
  <si>
    <t>: Penyusunan dokumen keuangan Desa (APBDesa Perubahan 2023)</t>
  </si>
  <si>
    <t xml:space="preserve">cetak Dokumen APBDes Perubahan </t>
  </si>
  <si>
    <t>: Penyusunan dokumen keuangan Desa ( LPJ APBDesa 2022)</t>
  </si>
  <si>
    <t>Belanja Bahan /Material</t>
  </si>
  <si>
    <t>Spanduk Kegiatan</t>
  </si>
  <si>
    <t>Bh</t>
  </si>
  <si>
    <t>oh</t>
  </si>
  <si>
    <t>: Sarana dan Prasarana Pemerintah Desa</t>
  </si>
  <si>
    <t>: Penyediaan Aset Tetap (Prasarana Kantor Desa)</t>
  </si>
  <si>
    <t>Waktu Pelaksanaan</t>
  </si>
  <si>
    <t>1.2.01.5.3</t>
  </si>
  <si>
    <t>Belanja Modal</t>
  </si>
  <si>
    <t>1.2.01.5.3.2</t>
  </si>
  <si>
    <t>Belanja Modal Peralatan, Mesin, dan Alat Berat</t>
  </si>
  <si>
    <t>1.2.01.5.3.2.01</t>
  </si>
  <si>
    <t>Belanja modal honor tim yang melaksanakan kegiatan</t>
  </si>
  <si>
    <t>Ketua TPK</t>
  </si>
  <si>
    <t>1.2.01.5.3.2.02</t>
  </si>
  <si>
    <t>Belanja Modal Peralatan elektronik dan Alat Studio</t>
  </si>
  <si>
    <t>1.2.01.5.3.2.04</t>
  </si>
  <si>
    <t>Belanja Modal Peralatan mebeulair dan Aksesori ruangan</t>
  </si>
  <si>
    <t>.</t>
  </si>
  <si>
    <t xml:space="preserve">: 12 Bulan </t>
  </si>
  <si>
    <t>Air Kemasan Botol untuk musdes</t>
  </si>
  <si>
    <t>Konsumsi 30or x 1</t>
  </si>
  <si>
    <t>1.3.90.5.2.1.90</t>
  </si>
  <si>
    <t>Belanja Jasa Honorarium Ahli/Profesi/Konsultan/Narasumber</t>
  </si>
  <si>
    <t>Honor Narasumber (1or x 1KL)</t>
  </si>
  <si>
    <t>: Pemberdayaan Masyarakat Desa</t>
  </si>
  <si>
    <t>: Peningkatan Kapasitas Aparatur Desa</t>
  </si>
  <si>
    <t>: Pelatihan PKPKD, PPKD dan TPK</t>
  </si>
  <si>
    <t>4.3.02.5.2</t>
  </si>
  <si>
    <t>4.3.02.5.2.1</t>
  </si>
  <si>
    <t>4.3.02.5.2.1.06</t>
  </si>
  <si>
    <t>Konsumsi Pelatihan 36or x 1kl</t>
  </si>
  <si>
    <t>4.3.02.5.2.1.08</t>
  </si>
  <si>
    <t>4.3.02.5.2.1.90</t>
  </si>
  <si>
    <t>Belanja Upakara, Upacara dan Aci</t>
  </si>
  <si>
    <t>Aci ( Pejati )</t>
  </si>
  <si>
    <t>4.3.02.5.2.2</t>
  </si>
  <si>
    <t>4.3.02.5.2.2.04</t>
  </si>
  <si>
    <t>Honor Narasumber / Instruktur 2or</t>
  </si>
  <si>
    <t>KODE</t>
  </si>
  <si>
    <t>: Pelatihan Tim Verifikasi dan penyusunan RKP ( Pelatihan Penysunan RKPDes)</t>
  </si>
  <si>
    <t xml:space="preserve">Waktu Pelaksanaan       </t>
  </si>
  <si>
    <t>Konsumsi Pelatihan (32or x 1kali)</t>
  </si>
  <si>
    <t>4.3.02.5.2.1.07</t>
  </si>
  <si>
    <t>: Peningkatan Kapasitas BPD</t>
  </si>
  <si>
    <t xml:space="preserve">: </t>
  </si>
  <si>
    <t>4.3.03.5.2</t>
  </si>
  <si>
    <t>4.3.03.5.2.1</t>
  </si>
  <si>
    <t>4.3.03.5.2.1.06</t>
  </si>
  <si>
    <t>Konsumsi Pelatihan 10or x 2Kali</t>
  </si>
  <si>
    <t>4.3.03.5.2.1.08</t>
  </si>
  <si>
    <t>4.3.03.5.2.2</t>
  </si>
  <si>
    <t>4.3.03.5.2.2.04</t>
  </si>
  <si>
    <t>Honor Narasumber ( 2or X1 kl )</t>
  </si>
  <si>
    <t>4.3.03.5.2.4</t>
  </si>
  <si>
    <t>Belanja Jasa Sewa</t>
  </si>
  <si>
    <t>4.3.03.5.2.4.01</t>
  </si>
  <si>
    <t>ok</t>
  </si>
  <si>
    <t xml:space="preserve"> </t>
  </si>
  <si>
    <t>: Penyediaan Oprasional Pemerinthanan Desa ( Kegiatan Rapat - Rapat)</t>
  </si>
  <si>
    <t>1.1.04.5.2.1.90</t>
  </si>
  <si>
    <t xml:space="preserve">Pemeliharaan Aplikasi SIPENARI </t>
  </si>
  <si>
    <t xml:space="preserve">  </t>
  </si>
  <si>
    <t>Kotak</t>
  </si>
  <si>
    <t>pak</t>
  </si>
  <si>
    <t>lusin</t>
  </si>
  <si>
    <t>: Penyediaan Kegiatan Sosial Desa</t>
  </si>
  <si>
    <t>1.1.94.5.2</t>
  </si>
  <si>
    <t>1.1.94.5.2.7</t>
  </si>
  <si>
    <t>Belanja Barang dan Jasa yang Diserahkan Kepada Masyarakat</t>
  </si>
  <si>
    <t>1.1.94.5.2.7.01</t>
  </si>
  <si>
    <t>Belanja Bahan Perlengkapan yang Diserahkan ke masyarakat</t>
  </si>
  <si>
    <t>m</t>
  </si>
  <si>
    <t>btr</t>
  </si>
  <si>
    <t>: Administrasi Bank</t>
  </si>
  <si>
    <t xml:space="preserve">Bidang    </t>
  </si>
  <si>
    <t xml:space="preserve">Sub Bidang   </t>
  </si>
  <si>
    <t xml:space="preserve">Kegiatan     </t>
  </si>
  <si>
    <t>: Pelatihan Perangkat Desa</t>
  </si>
  <si>
    <t>Belanja Barang Dan Jasa</t>
  </si>
  <si>
    <t>Konsumsi Pelatihan (28or )</t>
  </si>
  <si>
    <t>NaraSumber / Instruktur (2or x 1kali )</t>
  </si>
  <si>
    <t>4.3.02.5.2.4</t>
  </si>
  <si>
    <t>4.3.02.5.2.4.01</t>
  </si>
  <si>
    <t>: Dukungan Penanaman Modal</t>
  </si>
  <si>
    <t>: Pengembangan sarana dan prasarana usaha mikro, kecil dan menengah serta koprasi  (Pelatihan Management BUMDes)</t>
  </si>
  <si>
    <t xml:space="preserve">Waktu Pelaksanaan        </t>
  </si>
  <si>
    <t>Rincian Pendanaan :</t>
  </si>
  <si>
    <t>4.6.02.5.2</t>
  </si>
  <si>
    <t>4.6.02.5.2.1</t>
  </si>
  <si>
    <t>4.6.02.5.2.1.06</t>
  </si>
  <si>
    <t>kotak</t>
  </si>
  <si>
    <t>4.6.02.5.2.1.08</t>
  </si>
  <si>
    <t>4.6.02.5.2.1.90</t>
  </si>
  <si>
    <t>4.6.02.5.2.2</t>
  </si>
  <si>
    <t>Belanja Honorarium</t>
  </si>
  <si>
    <t>4.6.02.5.2.2.04</t>
  </si>
  <si>
    <t>konsumsi ( 15 x 2 kali )</t>
  </si>
  <si>
    <t>Honor Narasumber/ Instruktur  (1or x 2kali)</t>
  </si>
  <si>
    <t>Sumber Dana        :</t>
  </si>
  <si>
    <t>Belanja Bahan/Material</t>
  </si>
  <si>
    <t>Belanja Jasa Honorarium Tim Yang Melaksanakan Kegiatan</t>
  </si>
  <si>
    <t>Anggota TPK</t>
  </si>
  <si>
    <t>Belanja Barang Dan jasa Yang Diserahkan Kepada Masyarakat</t>
  </si>
  <si>
    <t>Belanja Bahan Perlengkapan Yang Diserahkan Ke Masyarakat</t>
  </si>
  <si>
    <t xml:space="preserve">Waktu Pelaksanaan  </t>
  </si>
  <si>
    <t xml:space="preserve">: Pelatihan/ Penyuluhan Pemberdayaan Perempuan (Pelatihan Pembuatan Jamu Tradisional PKK Desa ) </t>
  </si>
  <si>
    <t>Perbekel Desa Penatih Dangin Puri</t>
  </si>
  <si>
    <t xml:space="preserve">Bidang                                </t>
  </si>
  <si>
    <t xml:space="preserve">Sub Bidang                        </t>
  </si>
  <si>
    <t xml:space="preserve">Kegiatan                             </t>
  </si>
  <si>
    <t>: Peningkatan Produksi Tanaman Pangan ( Produk Unggulan Desa) Pelatihan Budidaya Jamur</t>
  </si>
  <si>
    <t>4.2.01.5.2</t>
  </si>
  <si>
    <t>4.2.01.5.2.1</t>
  </si>
  <si>
    <t>4.2.01.5.2.1.06</t>
  </si>
  <si>
    <t>4.2.01.5.2.1.08</t>
  </si>
  <si>
    <t>4.2.01.5.2.1.90</t>
  </si>
  <si>
    <t>4.2.01.5.2.2</t>
  </si>
  <si>
    <t>4.2.01.5.2.2.01</t>
  </si>
  <si>
    <t>Sekretaris TPK</t>
  </si>
  <si>
    <t>4.2.01.5.2.2.04</t>
  </si>
  <si>
    <t>4.2.015.2.7</t>
  </si>
  <si>
    <t>4.2.01.5.2.7.01</t>
  </si>
  <si>
    <t>: Tambahan  Penghasilan Perbekel dari BKK</t>
  </si>
  <si>
    <t>1.1.96.5.1</t>
  </si>
  <si>
    <t>1.1.96.5.1.1</t>
  </si>
  <si>
    <t>1.1.96.5.1.1.01</t>
  </si>
  <si>
    <t>Bln</t>
  </si>
  <si>
    <t>Pemeliharaan Gedung/Prasarana Kantor Desa (Perbekel)</t>
  </si>
  <si>
    <t>Volume</t>
  </si>
  <si>
    <t xml:space="preserve"> : 12 Bulan</t>
  </si>
  <si>
    <t>NO.</t>
  </si>
  <si>
    <t>Total</t>
  </si>
  <si>
    <t>Mengetahui</t>
  </si>
  <si>
    <t>I Wayan Sutapa</t>
  </si>
  <si>
    <t>Pemeliharaan Gedung/Prasarana Kantor Desa (Ruang Sekeretaris Desa)</t>
  </si>
  <si>
    <t>Pemeliharaan Gedung/Prasarana Kantor Desa (BPD)</t>
  </si>
  <si>
    <t>Pemeliharaan Gedung/Prasarana Kantor Desa (Kepala Dusun)</t>
  </si>
  <si>
    <t>Pemeliharaan Gedung/Prasarana Kantor Desa (Kaur Kasi)</t>
  </si>
  <si>
    <t>1.4.03.5.2</t>
  </si>
  <si>
    <t>1.4.03.5.2.1</t>
  </si>
  <si>
    <t>1.4.03.5.2.1.05</t>
  </si>
  <si>
    <t>Cetak RKP Desa 2021</t>
  </si>
  <si>
    <t>1.4.03.5.2.1.06</t>
  </si>
  <si>
    <t>Konsumsi kotak 12 or x 11 hari</t>
  </si>
  <si>
    <t>1.4.03.5.2.2</t>
  </si>
  <si>
    <t>1.4.03.5.2.2.01</t>
  </si>
  <si>
    <t>Belanja Jasa Honorarium Tim yang melaksanakan kegiatan</t>
  </si>
  <si>
    <t>Honorarium tim verifikasi</t>
  </si>
  <si>
    <t>Anggota (30r x 1kl)</t>
  </si>
  <si>
    <t>Honorarium tim Penyusun</t>
  </si>
  <si>
    <t>Anggota 9 or x 3 bln</t>
  </si>
  <si>
    <t>Kader Teknik</t>
  </si>
  <si>
    <t>Penyusunan Dokumen Perencanaan Desa (RKP Desa 2024 )</t>
  </si>
  <si>
    <t>Bidang              :</t>
  </si>
  <si>
    <t>Pelaksanaan Pembangunan Desa</t>
  </si>
  <si>
    <t>Sub Bidang       :</t>
  </si>
  <si>
    <t>Pendidikan</t>
  </si>
  <si>
    <t>Penyelenggaraan PAUD/TK/TKA/ Madrasah Non Formal Milik Desa (Pengelolaan Taman Kanak - kanak  TK Kumara Sari VI )</t>
  </si>
  <si>
    <t>Kode</t>
  </si>
  <si>
    <t>2.1.01.5.2</t>
  </si>
  <si>
    <t>2.1.01.5.2.1</t>
  </si>
  <si>
    <t>2.1.01.5.2.1.01</t>
  </si>
  <si>
    <t>Oprasinal</t>
  </si>
  <si>
    <t>Spidol warna</t>
  </si>
  <si>
    <t xml:space="preserve">Buku Tulis </t>
  </si>
  <si>
    <t>Buku Agenda</t>
  </si>
  <si>
    <t>Tinta Spidol</t>
  </si>
  <si>
    <t>Stiker Label</t>
  </si>
  <si>
    <t>Tinta Hitam Printer</t>
  </si>
  <si>
    <t>Tinta Warna Printer</t>
  </si>
  <si>
    <t>Map plastik bening</t>
  </si>
  <si>
    <t>Map Kertas</t>
  </si>
  <si>
    <t>Isi Staples</t>
  </si>
  <si>
    <t>Penggaris</t>
  </si>
  <si>
    <t>Cetak Buku Ekspedisi</t>
  </si>
  <si>
    <t>Cetak Kartu SPP Anak</t>
  </si>
  <si>
    <t>Cetak Sampul rapot</t>
  </si>
  <si>
    <t>Cetak MAP SKTB</t>
  </si>
  <si>
    <t>Rak Buku</t>
  </si>
  <si>
    <t>Buku untuk di Perpustakaan</t>
  </si>
  <si>
    <t>Jaringan Komputer</t>
  </si>
  <si>
    <t>Pemeliharaan Printer</t>
  </si>
  <si>
    <t>Untuk Anak - Anak</t>
  </si>
  <si>
    <t>Map Plastik Kancing</t>
  </si>
  <si>
    <t>Buku Kotak</t>
  </si>
  <si>
    <t>Pensil</t>
  </si>
  <si>
    <t>Buku Tematik</t>
  </si>
  <si>
    <t>Paket</t>
  </si>
  <si>
    <t>Pensil Warna</t>
  </si>
  <si>
    <t>palet cat</t>
  </si>
  <si>
    <t>Cotton Bud</t>
  </si>
  <si>
    <t>Manik - manik</t>
  </si>
  <si>
    <t>Benang Nilon</t>
  </si>
  <si>
    <t>Plastik Jilid</t>
  </si>
  <si>
    <t>2.1.01.5.2.1.02</t>
  </si>
  <si>
    <t xml:space="preserve">Belanja Perlengkapan Alat Listrik </t>
  </si>
  <si>
    <t>Lampu Philips</t>
  </si>
  <si>
    <t>2.1.01.5.2.1.03</t>
  </si>
  <si>
    <t>Sabun pencuci Piring</t>
  </si>
  <si>
    <t>Sabun Cuci Tangan</t>
  </si>
  <si>
    <t>Cairan Pembersih Lantai</t>
  </si>
  <si>
    <t>Obat- Obatan P3K</t>
  </si>
  <si>
    <t>Cairan pembersih Kaca</t>
  </si>
  <si>
    <t>Lap Cuci Tangan</t>
  </si>
  <si>
    <t>Sapu Ijuk</t>
  </si>
  <si>
    <t>Kemoceng</t>
  </si>
  <si>
    <t xml:space="preserve">Alat pel </t>
  </si>
  <si>
    <t>Deterjen/Sabun cuci so klin</t>
  </si>
  <si>
    <t>Lap kaca/sekewis kaca</t>
  </si>
  <si>
    <t>Cairan pembersih porselin</t>
  </si>
  <si>
    <t>Sikat kamar mandi</t>
  </si>
  <si>
    <t>Tempat sampah</t>
  </si>
  <si>
    <t>Keranjang Plastik</t>
  </si>
  <si>
    <t>Taplak Meja</t>
  </si>
  <si>
    <t xml:space="preserve">Baterai </t>
  </si>
  <si>
    <t>Tisuu</t>
  </si>
  <si>
    <t>Lakban</t>
  </si>
  <si>
    <t>Cat Pewarna Makana</t>
  </si>
  <si>
    <t>2.1.01.5.2.1.06</t>
  </si>
  <si>
    <t>2.1.01.5.2.1.07</t>
  </si>
  <si>
    <t>Belanja Bahan / Material</t>
  </si>
  <si>
    <t>Kostum Pawai 17 Agustus</t>
  </si>
  <si>
    <t>Kostum Pawai Ogoh - ogoh</t>
  </si>
  <si>
    <t>2.1.01.5.2.1.08</t>
  </si>
  <si>
    <t>Bendera Merah putih</t>
  </si>
  <si>
    <t>2.1.01.5.2.1.09</t>
  </si>
  <si>
    <t>Belanja Pakaian Dinas/ Seragam/ Atribut</t>
  </si>
  <si>
    <t>Seragam Guru endek ( 5Guru)</t>
  </si>
  <si>
    <t>2.1.01.5.2.1.90</t>
  </si>
  <si>
    <t xml:space="preserve">Canang Sehari - Hari </t>
  </si>
  <si>
    <t>tanding</t>
  </si>
  <si>
    <t>Banten Purnama</t>
  </si>
  <si>
    <t>Banten Tilem</t>
  </si>
  <si>
    <t>Banten Kajeng Kliwon</t>
  </si>
  <si>
    <t>Odalan (setiap saraswati)</t>
  </si>
  <si>
    <t>Pejati Kuningan</t>
  </si>
  <si>
    <t>Pejati sugian</t>
  </si>
  <si>
    <t>Pejati Galungan</t>
  </si>
  <si>
    <t>2.1.01.5.2.2</t>
  </si>
  <si>
    <t>2.1.01.5.2.2.04</t>
  </si>
  <si>
    <t>Belanja jasa honorarium Ahli/Profesi/Konsultan/Narasumber</t>
  </si>
  <si>
    <t>Honor Kepala Sekolah</t>
  </si>
  <si>
    <t>Honor Guru 1</t>
  </si>
  <si>
    <t>Honor Guru 2</t>
  </si>
  <si>
    <t>Honor Guru 3</t>
  </si>
  <si>
    <t>Honor Guru 4</t>
  </si>
  <si>
    <t>Honor Guru Extra (2orang)</t>
  </si>
  <si>
    <t>Honor Cleaning Service</t>
  </si>
  <si>
    <t>Tunjangan</t>
  </si>
  <si>
    <t>Kepala Sekolah</t>
  </si>
  <si>
    <t>Operator</t>
  </si>
  <si>
    <t>2.1.01.5.2.5</t>
  </si>
  <si>
    <t>Belanja Operasional perkantoran</t>
  </si>
  <si>
    <t>2.1.01.5.2.5.01</t>
  </si>
  <si>
    <t xml:space="preserve">Belanja jasa Langganan listrik </t>
  </si>
  <si>
    <t>2.1.01.5.2.5.02</t>
  </si>
  <si>
    <t>Belanja jasa langganan Air</t>
  </si>
  <si>
    <t>2.1.01.5.2.5.05</t>
  </si>
  <si>
    <t>2.2.02.5.2.2.04</t>
  </si>
  <si>
    <t>2.2.02.5.2.2</t>
  </si>
  <si>
    <t>Belanja Bendera/Umbul - umbul Spanduk</t>
  </si>
  <si>
    <t>2.2.02.5.2.1.08</t>
  </si>
  <si>
    <t>Konsumsi Kegiatan</t>
  </si>
  <si>
    <t>2.2.02.5.2.1.06</t>
  </si>
  <si>
    <t>Perlangakapan Alat Tulis Kantor dan Benda POS</t>
  </si>
  <si>
    <t>2.2.02.5.2.1.01</t>
  </si>
  <si>
    <t>Belanaja Barang Pelengkapan</t>
  </si>
  <si>
    <t>2.2.02.5.2.1</t>
  </si>
  <si>
    <t>2.2.02.5.2</t>
  </si>
  <si>
    <t>: Posyandu Remaja</t>
  </si>
  <si>
    <t xml:space="preserve">Kegiatan    </t>
  </si>
  <si>
    <t>: Kesehatan</t>
  </si>
  <si>
    <t>: Pelaksanaan Pembangunan Desa</t>
  </si>
  <si>
    <t xml:space="preserve">Bidang         </t>
  </si>
  <si>
    <t>2.2.02.5.2.2.05</t>
  </si>
  <si>
    <t>Honor Petugas POSYANDU (5or x 13Klp x 12bln)</t>
  </si>
  <si>
    <t>2.2.02.5.2.1.90</t>
  </si>
  <si>
    <t>Perawatan Timbangan Posyandu(13buah x 12bln)</t>
  </si>
  <si>
    <t>2.2.02.5.2.1.07</t>
  </si>
  <si>
    <t xml:space="preserve">Vitamin </t>
  </si>
  <si>
    <t>butir</t>
  </si>
  <si>
    <t>Telur</t>
  </si>
  <si>
    <t xml:space="preserve">Susu </t>
  </si>
  <si>
    <t>Konsumsi 5or x 13klp x 12bln</t>
  </si>
  <si>
    <t>Spidol Warna</t>
  </si>
  <si>
    <t>Buku Data Posyandu</t>
  </si>
  <si>
    <t>Buku SKDN</t>
  </si>
  <si>
    <t>Buku Pola Ship</t>
  </si>
  <si>
    <t>: Penyelenggaraan Posyandu (Pemberian PMT)</t>
  </si>
  <si>
    <t>Honor Narasumber (2 orx 1kl)</t>
  </si>
  <si>
    <t>Belanja Jasa Honorarium Ahli/ Profesi/Konsultan/Narasumber</t>
  </si>
  <si>
    <t>Konsumsi ( 30or x 1kali )</t>
  </si>
  <si>
    <t>: Penyelenggaraan POSyandu (Pos Gizi dan Ibu Hamil)</t>
  </si>
  <si>
    <t xml:space="preserve">Bidang        </t>
  </si>
  <si>
    <t xml:space="preserve"> : Pelaksanaan Pembangunan Desa</t>
  </si>
  <si>
    <t xml:space="preserve">Sub Bidang          </t>
  </si>
  <si>
    <t xml:space="preserve"> : Kesehatan</t>
  </si>
  <si>
    <t>Cetak Kartu Kembang Anak</t>
  </si>
  <si>
    <t>Konsumsi 5or x 6klp x 12bln</t>
  </si>
  <si>
    <t>Honor Petugas BKB (5or x 6Klp x 12bln)</t>
  </si>
  <si>
    <t xml:space="preserve"> :  Pengasuhan Bersama atau Bina Keluarga Lansia (Pelaksanaan Kegiatan Bina keluarga lansia BKL )</t>
  </si>
  <si>
    <t>Belanja Jasa Honorarium Tim yang Melaksanakan Kegiatan (TPK )</t>
  </si>
  <si>
    <t>: Penyuluhan dan Pelatihan Bidang Kesehatan (Pembinaan Kader POSyandu)</t>
  </si>
  <si>
    <t>2.2.03.5.2</t>
  </si>
  <si>
    <t>2.2.03.5.2.1</t>
  </si>
  <si>
    <t>2.2.03.5.2.1.06</t>
  </si>
  <si>
    <t>2.2.03.5.2.1.07</t>
  </si>
  <si>
    <t>2.2.03.5.2.1.08</t>
  </si>
  <si>
    <t>2.2.03.5.2.1.90</t>
  </si>
  <si>
    <t>Belanja Upakara, Upacara Dan Aci-Aci</t>
  </si>
  <si>
    <t>2.2.03.5.2.2</t>
  </si>
  <si>
    <t>2.2.03.5.2.2.04</t>
  </si>
  <si>
    <t>Honor Narasumber (2or)</t>
  </si>
  <si>
    <t>2.2.03.5.2.2.01</t>
  </si>
  <si>
    <t>: Penyuluhan dan Pelatihan Bidang Kesehatan(Sosialisasi Stunting)</t>
  </si>
  <si>
    <t xml:space="preserve">Sewa dekorasi </t>
  </si>
  <si>
    <t>Belanja Jasa Sewa Alat Perlengkapan</t>
  </si>
  <si>
    <t>2.2.03.5.2.4.02</t>
  </si>
  <si>
    <t>2.2.03.5.2.4</t>
  </si>
  <si>
    <t>Honor Narasumber (2or x 1kali)</t>
  </si>
  <si>
    <t>Brosur Tentang HIV- AIDS</t>
  </si>
  <si>
    <t>Belanja Alat Tulis Kantor dan Benda Pos</t>
  </si>
  <si>
    <t>2.2.03.5.2.1.01</t>
  </si>
  <si>
    <t>: Penyuluhan dan Pelatihan Bidang Kesehatan (Penyuluhan Narkoba dan HIV/AIDS)</t>
  </si>
  <si>
    <t>Kali</t>
  </si>
  <si>
    <t>Belanaja Jasa Honorarium</t>
  </si>
  <si>
    <t>Belanja Bendera/ Umbul-Umbul/ Spanduk</t>
  </si>
  <si>
    <t>Nutrisi Tambahan</t>
  </si>
  <si>
    <t>Belanja Barang perlengkapan</t>
  </si>
  <si>
    <t xml:space="preserve">Belanja Barang dan Jasa </t>
  </si>
  <si>
    <t>Rincian Pengeluaran :</t>
  </si>
  <si>
    <t>: Penyuluhan dan Pelatihan Bidang Kesehatan (Pemberian tambahan nutrisi bagi lansia)</t>
  </si>
  <si>
    <t xml:space="preserve">Kegiatan             </t>
  </si>
  <si>
    <t xml:space="preserve">Sub Bidang            </t>
  </si>
  <si>
    <t>:Pelaksanaan Pembangunan Desa</t>
  </si>
  <si>
    <t>RENCANA ANGGARAN BIAYA (RAB)</t>
  </si>
  <si>
    <t>Belanja Jasa Honorarium Tim yang Melaksanakan Kegiatan</t>
  </si>
  <si>
    <t>Kegiatan</t>
  </si>
  <si>
    <t>Belanja Jasa Honorarium Narasumber</t>
  </si>
  <si>
    <t>Belanja Barang Konsumsi</t>
  </si>
  <si>
    <t>: Penyuluhan dan Pelatihan Bidang Kesehatan (Posbindu)</t>
  </si>
  <si>
    <t>2.2.03.5.2.2.05</t>
  </si>
  <si>
    <t>Belanja Jasa Sewa Sarana/Perlengkapan</t>
  </si>
  <si>
    <t>Honor MC</t>
  </si>
  <si>
    <t>2.2.03.5.2.2..04</t>
  </si>
  <si>
    <t>Konsumsi Rapat (30 or x 1Kl)</t>
  </si>
  <si>
    <t>: Penyuluhan dan Pelatihan Bidang Kesehatan (Penyuluhan KB)</t>
  </si>
  <si>
    <t>Honor Pelatih / Instruktur (2or x 1kali )</t>
  </si>
  <si>
    <t>2.2.04.5.2.2.04</t>
  </si>
  <si>
    <t>2.2.04.5.2.2</t>
  </si>
  <si>
    <t>2.2.04.5.2.1.90</t>
  </si>
  <si>
    <t>2.2.04.5.2.1.08</t>
  </si>
  <si>
    <t>2.2.04.5.2.1.06</t>
  </si>
  <si>
    <t>2.2.04.5.2.1.01</t>
  </si>
  <si>
    <t>2.2.04.5.2.1</t>
  </si>
  <si>
    <t>2.2.04.5.2</t>
  </si>
  <si>
    <t>: Penyuluhan dan Pelatihan Bidang Kesehatan (Desa Siaga Kesehatan)</t>
  </si>
  <si>
    <t>Honor Tim yang Melaksanakan Kegiatan</t>
  </si>
  <si>
    <t>2.2.06.5.2.2</t>
  </si>
  <si>
    <t>2.2.06.5.2.1.06</t>
  </si>
  <si>
    <t>2.2.06.5.2.1</t>
  </si>
  <si>
    <t>2.2.06.5.2</t>
  </si>
  <si>
    <t xml:space="preserve"> :Pengasuhan Bersama atau Bina Keluarga Balita (Pembinaan  kader BKB)</t>
  </si>
  <si>
    <t>Ob</t>
  </si>
  <si>
    <t>2.2.06.5.2.2.05</t>
  </si>
  <si>
    <t>2.2.06.5.2.1.01</t>
  </si>
  <si>
    <t xml:space="preserve"> :  Pengasuhan Bersama atau Bina Keluarga Balita (Pembinaan Kegiatan Bina keluarga Remaja BKR )</t>
  </si>
  <si>
    <t>5or x 1klp x 12bln</t>
  </si>
  <si>
    <t xml:space="preserve"> :  Pengasuhan Bersama atau Bina Keluarga Remaja (Penyelenggaraan BKR)</t>
  </si>
  <si>
    <t xml:space="preserve"> :  Pengasuhan Bersama atau Bina Keluarga Balita (Pelaksanaan Kegiatan Bina keluarga Balita BKB )</t>
  </si>
  <si>
    <t>2.2.91.5.2.6.01</t>
  </si>
  <si>
    <t>Belanja pemeliharaan</t>
  </si>
  <si>
    <t>2.2.91.5.2.6</t>
  </si>
  <si>
    <t>2.2.91.5.2.2.05</t>
  </si>
  <si>
    <t>Belanja Jasa Honorarium Tim Yang Melaksanakan kegiatan</t>
  </si>
  <si>
    <t>2.2.91.5.2.2.01</t>
  </si>
  <si>
    <t>2.2.91.5.2.2</t>
  </si>
  <si>
    <t>Sarung Tangang Kain</t>
  </si>
  <si>
    <t>Ltr</t>
  </si>
  <si>
    <t>Obat</t>
  </si>
  <si>
    <t>2.2.91.5.2.1.07</t>
  </si>
  <si>
    <t>Ktk</t>
  </si>
  <si>
    <t>Belanja Perlengkapan Barang konsumsi</t>
  </si>
  <si>
    <t>2.2.91.5.2.1.06</t>
  </si>
  <si>
    <t>2.2.91.5.2.1</t>
  </si>
  <si>
    <t>2.2.91.5.2</t>
  </si>
  <si>
    <t>:  Foging Fokus</t>
  </si>
  <si>
    <t xml:space="preserve">Kegiatan   </t>
  </si>
  <si>
    <t xml:space="preserve">Bidang      </t>
  </si>
  <si>
    <t>Juara 3</t>
  </si>
  <si>
    <t>Juara 2</t>
  </si>
  <si>
    <t>Juara 1</t>
  </si>
  <si>
    <t>Hadiah</t>
  </si>
  <si>
    <t>2.2.92.5.2.7.90</t>
  </si>
  <si>
    <t>Belanja Barang dan Jasa Yang Di Serahkan</t>
  </si>
  <si>
    <t>2.2.92.5.2.7</t>
  </si>
  <si>
    <t>2.2.92.5.2.2.04</t>
  </si>
  <si>
    <t>2.2.92.5.2.2.01</t>
  </si>
  <si>
    <t>Belanaj Jasa Honorarium</t>
  </si>
  <si>
    <t>2.2.92.5.2.2</t>
  </si>
  <si>
    <t>Lampu Senter</t>
  </si>
  <si>
    <t xml:space="preserve">Tas </t>
  </si>
  <si>
    <t>Topi</t>
  </si>
  <si>
    <t>Belanja Pakaian Dinas / Seragam/ Atribut</t>
  </si>
  <si>
    <t>2.2.92.5.2.1.09</t>
  </si>
  <si>
    <t>2.2.92.5.2.1.08</t>
  </si>
  <si>
    <t>2.2.92.5.2.1.06</t>
  </si>
  <si>
    <t>2.2.92.5.2.1</t>
  </si>
  <si>
    <t>2.2.92.5.2</t>
  </si>
  <si>
    <t>Lomba PSN</t>
  </si>
  <si>
    <t>Gerakan Kebersihan Serentak</t>
  </si>
  <si>
    <t>: Gerakan Serentak PSN dan Lomba PSN</t>
  </si>
  <si>
    <t xml:space="preserve">: Pelaksanaan Pembangunan Desa  </t>
  </si>
  <si>
    <t>2.2.93.5.2.1.06</t>
  </si>
  <si>
    <t>2.2.93.5.2.1.05</t>
  </si>
  <si>
    <t>2.2.93.5.2.1.01</t>
  </si>
  <si>
    <t>2.2.93.5.2.1</t>
  </si>
  <si>
    <t>2.2.93.5.2</t>
  </si>
  <si>
    <t>: Penyelengggaraan Rumah Desa Sehat</t>
  </si>
  <si>
    <t>Spanduk</t>
  </si>
  <si>
    <t>Belanja Bahan Meterial</t>
  </si>
  <si>
    <t>: Pelaksanaan pemulihan penanganan pandemi Covid 19</t>
  </si>
  <si>
    <t>Pembangunan Desa</t>
  </si>
  <si>
    <t>Pemeliharaan Jalan Usaha Tani (Subak Temaga Pembesian)</t>
  </si>
  <si>
    <t>Pemeliharaan Jalan Usaha Tani (Subak Temaga Bongkar Paving)</t>
  </si>
  <si>
    <t>Pemeliharaan Jalan Usaha Tani (Subak Temaga Urug Lime Stone)</t>
  </si>
  <si>
    <t>m3</t>
  </si>
  <si>
    <t>Pemeliharaan Jalan Usaha Tani (Subak Temaga Rabat Beton)</t>
  </si>
  <si>
    <t>Pemeliharaan Jalan Usaha Tani (Subak Temaga Pembetonan)</t>
  </si>
  <si>
    <t>Pemeliharaan Jalan Usaha Tani (Pasang Bekisting )</t>
  </si>
  <si>
    <t>TOTAL</t>
  </si>
  <si>
    <t>mobil</t>
  </si>
  <si>
    <t>Spare Part Ban Truk</t>
  </si>
  <si>
    <t>Spare Part Aki Truk</t>
  </si>
  <si>
    <t>Spare Part Moci</t>
  </si>
  <si>
    <t>2.4.07.5.2.6.02</t>
  </si>
  <si>
    <t>Sparepart Mesin Pengolahan Sampah</t>
  </si>
  <si>
    <t>Service Mesin Pengolahan Sampah</t>
  </si>
  <si>
    <t>Belanja Pemeliharaan Mesin Dan Peralatan Berat</t>
  </si>
  <si>
    <t>2.4.07.5.2.6.01</t>
  </si>
  <si>
    <t>2.4.07.5.2.6</t>
  </si>
  <si>
    <t>Kir L300</t>
  </si>
  <si>
    <t>Samsat L300</t>
  </si>
  <si>
    <t>Belanja Berpanjang Ijin/Pajak</t>
  </si>
  <si>
    <t>2.4.07.5.2.5.07</t>
  </si>
  <si>
    <t>Belanja Operasional pekantoran</t>
  </si>
  <si>
    <t>2.4.07.5.2.5</t>
  </si>
  <si>
    <t>Belanja Honorarium Petugas</t>
  </si>
  <si>
    <t>2.4.07.5.2.2.05</t>
  </si>
  <si>
    <t>2.4.07.5.2.2</t>
  </si>
  <si>
    <t>Banten Untuk Di TPS</t>
  </si>
  <si>
    <t>Belanja Upakara, Upacara dan aci</t>
  </si>
  <si>
    <t>2.4.07.5.2.1.90</t>
  </si>
  <si>
    <t xml:space="preserve">pasang </t>
  </si>
  <si>
    <t>Sarung Tangan</t>
  </si>
  <si>
    <t>Jas Hujan Model Baju Celana</t>
  </si>
  <si>
    <t>Sekop Datar</t>
  </si>
  <si>
    <t>hari</t>
  </si>
  <si>
    <t>Belanja Bahan Dan Alat</t>
  </si>
  <si>
    <t>2.4.07.5.2.1.07</t>
  </si>
  <si>
    <t>Cetak Buku Register Pelanggan</t>
  </si>
  <si>
    <t>Cetak Karcis Sampah</t>
  </si>
  <si>
    <t>Belanja perlengkapan Cetak</t>
  </si>
  <si>
    <t>2.4.07.5.2.1.05</t>
  </si>
  <si>
    <t>2.4.07.5.2.1.04</t>
  </si>
  <si>
    <t>2.4.07.5.2.1</t>
  </si>
  <si>
    <t>2.4.07.5.2</t>
  </si>
  <si>
    <t>: Kegiatan Pengelolaan Sampah Tingkat Desa</t>
  </si>
  <si>
    <t xml:space="preserve">Kegiatan                            </t>
  </si>
  <si>
    <t>: Kawasan Pemukiman</t>
  </si>
  <si>
    <t xml:space="preserve">Sub Bidang                      </t>
  </si>
  <si>
    <t xml:space="preserve">Bidang                               </t>
  </si>
  <si>
    <t>: Pemeiliharaan Fasilitas Pengelolaan Sampah Desa/ Pemukiman ( Operasional Kegiatan Bank Sampah Desa)</t>
  </si>
  <si>
    <t>Belanja barang perlengkapan</t>
  </si>
  <si>
    <t>Serok</t>
  </si>
  <si>
    <t>Detergen</t>
  </si>
  <si>
    <t>Ember Besar</t>
  </si>
  <si>
    <t xml:space="preserve"> liter </t>
  </si>
  <si>
    <t>Belanja Pemeliharaan Peralatan</t>
  </si>
  <si>
    <t>Belanja Jasa Honor</t>
  </si>
  <si>
    <t>Belanja Tanaman Hias</t>
  </si>
  <si>
    <t>Belanja Bahan Bakar Minyak/Gas/Isi Ulang Tabung Pemadam Kebakaran</t>
  </si>
  <si>
    <t>Belanja Barang dan Jasa :</t>
  </si>
  <si>
    <t>: Operasional Tim Kebersihan Lingkungan</t>
  </si>
  <si>
    <t xml:space="preserve">Bidang                 </t>
  </si>
  <si>
    <t xml:space="preserve"> : Perhubungan, Komunikasi dan Informatika</t>
  </si>
  <si>
    <t xml:space="preserve">Kegiatan         </t>
  </si>
  <si>
    <t>: Penyelenggaraan Informasi Publik Desa ( Pembuatan dan Pemasangan Baliho APBDesa )</t>
  </si>
  <si>
    <t xml:space="preserve">  : 12 Bulan</t>
  </si>
  <si>
    <t>2.6.02.5.2</t>
  </si>
  <si>
    <t>2.6.02.5.2.1</t>
  </si>
  <si>
    <t>Belanaj Barang Perlengkapan</t>
  </si>
  <si>
    <t>2.6.02.5.2.1.05</t>
  </si>
  <si>
    <t>Belanja perlengkapan cetak/ pengadaan (Baliho APBDes)</t>
  </si>
  <si>
    <t>: Pembinaan Kemasyarakatan Desa</t>
  </si>
  <si>
    <t>: Ketentraman, Ketertiban Umum, dan Perlindungan Masyarakat</t>
  </si>
  <si>
    <t>:Koordinasi Pembinaan Ketentraman, Ketertiban, dan Perlindungan Masyarakat (Pengamanan Pengerupukan)</t>
  </si>
  <si>
    <t>3.1.03.5.2</t>
  </si>
  <si>
    <t>3.1.03.5.2.1</t>
  </si>
  <si>
    <t>3.1.03.5.2.1.06</t>
  </si>
  <si>
    <t>3.1.03.5.2.1.07</t>
  </si>
  <si>
    <t>3.1.03.5.2.2</t>
  </si>
  <si>
    <t>3.1.03.5.2.2.05</t>
  </si>
  <si>
    <t>: Koordinasi Pembinaan Ketentraman, Ketertiban, dan Perlindungan Masyarakat (Pengamanan Tahun Baru)</t>
  </si>
  <si>
    <t xml:space="preserve">Sub Bidang     </t>
  </si>
  <si>
    <t>: Ketentraman, Ketertiban umum, dan Perlindungan Masyarakat</t>
  </si>
  <si>
    <t xml:space="preserve">Kegiatan  </t>
  </si>
  <si>
    <t>: Penguatan Dan Peningkatan Kapasitas Tenaga Keamanan dan Ketertiban Oleh Pemerintah Desa( Pembinaan Linmas )</t>
  </si>
  <si>
    <t>3.1.05.5.2.1.90</t>
  </si>
  <si>
    <t>Belanja Jasa Honorarium Ahli/Profesi/Konsultan/ Narasumber</t>
  </si>
  <si>
    <t>: Penguatan dan peningkatan kapasitas tenaga keamanan/ketertiban oleh Pemerintah Desa (Penjagaan Linmas Desa)</t>
  </si>
  <si>
    <t>Belanja Bahan Bakar Minyak/ gas/ isi Ulang Tabung Pemadam Kebakaran</t>
  </si>
  <si>
    <t>Bahan Bakar Mobil Linmas 1Unit</t>
  </si>
  <si>
    <t>Tahun</t>
  </si>
  <si>
    <t>Bahan Bakar Motor Linmas (2 Unit)</t>
  </si>
  <si>
    <t>unit/Tahun</t>
  </si>
  <si>
    <t>Soroh</t>
  </si>
  <si>
    <t>Honor Petugas jaga/patroli (linmas) (7or x 365 hari)</t>
  </si>
  <si>
    <t>Spare part Motor Linmas 2 Unit x 1 tahun</t>
  </si>
  <si>
    <t>Spare Part Mobil Linmas</t>
  </si>
  <si>
    <t>: Bidang Kelembagaan Masyarakat</t>
  </si>
  <si>
    <t>: Pembinaan PKK  ( Pembinaan administrasi )</t>
  </si>
  <si>
    <t>Wastra Padmasana, Tugu dan Dugulan</t>
  </si>
  <si>
    <t xml:space="preserve">Banten  Caru </t>
  </si>
  <si>
    <t xml:space="preserve">Penjor </t>
  </si>
  <si>
    <t xml:space="preserve">Soda alit </t>
  </si>
  <si>
    <t>ekor</t>
  </si>
  <si>
    <t xml:space="preserve">Ulam Upakara </t>
  </si>
  <si>
    <t xml:space="preserve">Banten Ayaban </t>
  </si>
  <si>
    <t xml:space="preserve">Banten Pengulapan </t>
  </si>
  <si>
    <t xml:space="preserve">Banten Prayascita </t>
  </si>
  <si>
    <t xml:space="preserve">Banten Durmangala </t>
  </si>
  <si>
    <t xml:space="preserve">Banten Baye Kawonan </t>
  </si>
  <si>
    <t xml:space="preserve">Pejati </t>
  </si>
  <si>
    <t>Belanja Upakara dan Upacara</t>
  </si>
  <si>
    <t>3.2.90.5.2.1.90</t>
  </si>
  <si>
    <t>3.2.90.5.2.1.06</t>
  </si>
  <si>
    <t>3.2.90.5.2.1</t>
  </si>
  <si>
    <t>3.2.90.5.2</t>
  </si>
  <si>
    <t xml:space="preserve"> : Pembinaan Adat dan Keagamaan (Piodalan Padmasana)</t>
  </si>
  <si>
    <t xml:space="preserve"> :  Kebudayaan dan Kegamaan</t>
  </si>
  <si>
    <t xml:space="preserve"> : Pembinaan Kemasyarakatan Desa     </t>
  </si>
  <si>
    <t>Banten Saraswati</t>
  </si>
  <si>
    <t>Baten Rerahina Kuningan</t>
  </si>
  <si>
    <t xml:space="preserve">Baten Rerahina Galungan </t>
  </si>
  <si>
    <t>Baten Rerahina Sugian</t>
  </si>
  <si>
    <t>Pejati Tumpek</t>
  </si>
  <si>
    <t>Upakara Pejati Purnama Tilem (kecuali tilem ke 10)</t>
  </si>
  <si>
    <t>Hari Raya Suci Keagamaan)</t>
  </si>
  <si>
    <t>: Pembinaan Adat dan Keagamaan (Upakara dan Upacara)</t>
  </si>
  <si>
    <t>:  Kebudayaan dan Kegamaan</t>
  </si>
  <si>
    <t xml:space="preserve">:  Pembinaan Kemasyarakatan Desa     </t>
  </si>
  <si>
    <t xml:space="preserve">Sumber Dana       </t>
  </si>
  <si>
    <t xml:space="preserve"> : Penunjang Oprasional Subak/Subak Abian (BKKProvinsi)</t>
  </si>
  <si>
    <t>Waktu Pelaksanaan       : 12 Bulan</t>
  </si>
  <si>
    <t>3.2.91.5.2</t>
  </si>
  <si>
    <t>3.2.91.5.2.7</t>
  </si>
  <si>
    <t>3.2.91.5.2.7.01</t>
  </si>
  <si>
    <t>Belanaja Barang  Yang Diserahkan</t>
  </si>
  <si>
    <t>Untuk menunjang kegitan Subak</t>
  </si>
  <si>
    <t>Subak</t>
  </si>
  <si>
    <t xml:space="preserve"> : Penunjang Oprasional Desa Pakraman(BKK Kota)</t>
  </si>
  <si>
    <t>3.2.94.5.2.7</t>
  </si>
  <si>
    <t>3.2.94.5.2.7.01</t>
  </si>
  <si>
    <t>Untuk menunjang kegiatan Desa pekraman</t>
  </si>
  <si>
    <t>Desa Pakraman</t>
  </si>
  <si>
    <t>Untuk menunjang kegiatan  Banjar Adat</t>
  </si>
  <si>
    <t xml:space="preserve"> Banjar Adat</t>
  </si>
  <si>
    <t xml:space="preserve">: Pembinaan Kemasyarakatan Desa     </t>
  </si>
  <si>
    <t>: Kepemudaan Dan Olah Raga</t>
  </si>
  <si>
    <t>: Penunjang Kegiatan Ekonomi Produktif untuk Sekeha Teruna (BKK Kota)</t>
  </si>
  <si>
    <t>: Penyelenggaraan festival/ lomba kepemudaan dan olahraga tingat Desa (FORMI DESA )</t>
  </si>
  <si>
    <t>pasang</t>
  </si>
  <si>
    <t>Belanja Jasa Atlit dan Seniman Berprestasi</t>
  </si>
  <si>
    <t>Juara  I</t>
  </si>
  <si>
    <t>Juara  II</t>
  </si>
  <si>
    <t>Juara  III</t>
  </si>
  <si>
    <t>: Pengiriman Kontingen Kepemudaan dan olahraga sebagai wakil desa di tingkat kecamatan dan kabupaten/ kota ( FORMI)</t>
  </si>
  <si>
    <t>PERUBAHAN RENCANA ANGGARAN BIAYA</t>
  </si>
  <si>
    <t>: Penyelenggaraan Festival Kesenian, Adat / Kebudayaan, dan Keagamaan (Nganyarin)</t>
  </si>
  <si>
    <t>: Pembinaan Lembaga Kemasyarakatan</t>
  </si>
  <si>
    <t>: Pelatihan Pembinaan Lembaga Kemasyarakatan (Bulan bakti Gotong royong LPM)</t>
  </si>
  <si>
    <t>3.4.02.5.2</t>
  </si>
  <si>
    <t>Belanja Barang  Dan Jasa</t>
  </si>
  <si>
    <t>3.4.02.5.2.1</t>
  </si>
  <si>
    <t>3.4.02.5.2.1.06</t>
  </si>
  <si>
    <t>3.4.02.5.2.1.08</t>
  </si>
  <si>
    <t>3.4.02.5.2.1.09</t>
  </si>
  <si>
    <t>Belanja Pakaian Dinas Seragam Dan Atribut</t>
  </si>
  <si>
    <t>Seragam Endek LPM</t>
  </si>
  <si>
    <t>3.4.02.5.2.1.90</t>
  </si>
  <si>
    <t>3.4.02.5.2.7</t>
  </si>
  <si>
    <t>3.4.02.5.2.7.01</t>
  </si>
  <si>
    <t>3.4.03.5.2.2</t>
  </si>
  <si>
    <t>3.4.03.5.2.1.08</t>
  </si>
  <si>
    <t>3.4.03.5.2.1.06</t>
  </si>
  <si>
    <t>3.4.03.5.2</t>
  </si>
  <si>
    <t>: Pembinaan PKK (peningkatan kepatuhan keluarga dalam pengurangan penyebaran covid 19)</t>
  </si>
  <si>
    <t>: Kelembagaan Masyarakat</t>
  </si>
  <si>
    <t>Honor Tim Pelaksana Kegiatan</t>
  </si>
  <si>
    <t>Berias Peserta</t>
  </si>
  <si>
    <t>Belanja Bahan Material</t>
  </si>
  <si>
    <t>Belanja Barang Perlengkapan Barang Konsumsi</t>
  </si>
  <si>
    <t>Pengiriman Peserta Bulan Bahasa Bali Ke Kota</t>
  </si>
  <si>
    <t>Piagam Juri Bulan Bahasa Bali</t>
  </si>
  <si>
    <t>Piagam Pemenang Bulan Bahasa Bali</t>
  </si>
  <si>
    <t>Piagam Peserta Bulan Bahasa Bali</t>
  </si>
  <si>
    <t>Piagam</t>
  </si>
  <si>
    <t xml:space="preserve">Piala Tropy Ukir Kayu </t>
  </si>
  <si>
    <t>Piala</t>
  </si>
  <si>
    <t xml:space="preserve">Juara III </t>
  </si>
  <si>
    <t xml:space="preserve">Juara II </t>
  </si>
  <si>
    <t xml:space="preserve">Juara I </t>
  </si>
  <si>
    <t>Hadiah Lomba Bulan Bahasa Bali</t>
  </si>
  <si>
    <t>Sewa Dekorasi</t>
  </si>
  <si>
    <t>Sewa Tempat</t>
  </si>
  <si>
    <t>Belanja Jasa Sewa Perlengkapan</t>
  </si>
  <si>
    <t>Honor MC + Riasan</t>
  </si>
  <si>
    <t>Honor Juri</t>
  </si>
  <si>
    <t>Belanja Jasa Honorarium Ahli Profesi/Konsultan/Narasumber</t>
  </si>
  <si>
    <t>Belanja Bendera/Umbul - umbul/Spanduk</t>
  </si>
  <si>
    <t>Uraian</t>
  </si>
  <si>
    <t>No</t>
  </si>
  <si>
    <t xml:space="preserve">  : Penyelenggaraan Festival Kesenian, Adat / Kebudayaan, dan Keagamaan (Penyelenggaraan Bulan Bahasa Bali dan Festival Dharma Gita)</t>
  </si>
  <si>
    <t xml:space="preserve">  : Bidang Kebudayaan dan Keagamaan</t>
  </si>
  <si>
    <t xml:space="preserve">  : Pembinaan Kemasyarakatan Desa</t>
  </si>
  <si>
    <t>:Pelatihan Pembinaan Lembaga Kemasyarakatan (Input data  Dasawisma)</t>
  </si>
  <si>
    <t>3.3.02.5.2.7.91</t>
  </si>
  <si>
    <t>3.3.02.5.2.7</t>
  </si>
  <si>
    <t>3.3.02.5.2</t>
  </si>
  <si>
    <t>3.3.02.5.2.2.04</t>
  </si>
  <si>
    <t>3.3.02.5.2.2</t>
  </si>
  <si>
    <t>3.3.02.5.2.1.06</t>
  </si>
  <si>
    <t>3.3.02.5.2.1</t>
  </si>
  <si>
    <t>: Pembinaan Grup Kesenian dan Kebudayaan ( Pembinaan dan Lomba Megenjekan ) dalam rangka HLUN</t>
  </si>
  <si>
    <t>3.3.02.5.2.01.07</t>
  </si>
  <si>
    <t>3.3.02.5.2.01.06</t>
  </si>
  <si>
    <t>3.3.02.5.2.01</t>
  </si>
  <si>
    <t xml:space="preserve">: Pelatihan dan Lomba Menghias Tumpeng ( Ketua dan Sekretaris PKK ) Ke Kota </t>
  </si>
  <si>
    <t>Belanja Jasa Honor Tim yang Melaksanakan Kegiatan</t>
  </si>
  <si>
    <t>: Pembinaan Kesenian, Adat, Kebudayaan, dan Keagamaan ( Pembinaan Sekaa Seni Bondres dan Joged )</t>
  </si>
  <si>
    <t>Belanja Jasa Seniman dan Atlit Berprestasi</t>
  </si>
  <si>
    <t>Belanja Barang Dan Jasa yang Diserahkan Kepada Masyarakat</t>
  </si>
  <si>
    <t>Belanja Spanduk kegiatan</t>
  </si>
  <si>
    <t>Belanja Sepanduk</t>
  </si>
  <si>
    <t>Belanja Honorarium Pelatih/Narasumber</t>
  </si>
  <si>
    <t>Konsumsi (35 x 2hr)</t>
  </si>
  <si>
    <t>:Penyelenggaraan Pembinaan dan Lomba Balita Sehat</t>
  </si>
  <si>
    <t>RENCANA KERJA PEMERINTAH DESA (RKP)</t>
  </si>
  <si>
    <t>DESA</t>
  </si>
  <si>
    <t>: PENATIH DANGIN PURI</t>
  </si>
  <si>
    <t>KECAMATAN</t>
  </si>
  <si>
    <t>: DENPASAR TIMUR</t>
  </si>
  <si>
    <t>KOTA</t>
  </si>
  <si>
    <t>: DENPASAR</t>
  </si>
  <si>
    <t>PROVINSI</t>
  </si>
  <si>
    <t>: BALI</t>
  </si>
  <si>
    <t>Bidang/Jenis Kegiatan</t>
  </si>
  <si>
    <t>Mendukung SDGs Ke-</t>
  </si>
  <si>
    <t>Data Eksisting Tahun Berjalan</t>
  </si>
  <si>
    <t>Lokasi</t>
  </si>
  <si>
    <t>Volume &amp; Satuan</t>
  </si>
  <si>
    <t>Penerima Manfaat</t>
  </si>
  <si>
    <t>Biaya dan Sumber Pembiayaan</t>
  </si>
  <si>
    <t>Pola Pelaksanaan (Swakelola/Kerjasama Antar Desa/Kerjasama Pihak Ketiga)</t>
  </si>
  <si>
    <t>Keterangan</t>
  </si>
  <si>
    <t>Bidang</t>
  </si>
  <si>
    <t>Jenis Kegiatan</t>
  </si>
  <si>
    <t>Jlh (Rp)</t>
  </si>
  <si>
    <t>Sumber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</si>
  <si>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</si>
  <si>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</si>
  <si>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</si>
  <si>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</si>
  <si>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</si>
  <si>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</si>
  <si>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</si>
  <si>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</si>
  <si>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</si>
  <si>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</si>
  <si>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</si>
  <si>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</si>
  <si>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</si>
  <si>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</si>
  <si>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1 orang terpenuhinya pagu maksimal</t>
  </si>
  <si>
    <t>Desa Penatih Dangin Puri</t>
  </si>
  <si>
    <t>12 kali</t>
  </si>
  <si>
    <t>APBDesa</t>
  </si>
  <si>
    <t>Swakelola</t>
  </si>
  <si>
    <t>1kali</t>
  </si>
  <si>
    <t>Jumlah Per Bidang 1</t>
  </si>
  <si>
    <t>Penyediaan oprasional PAUD Desa</t>
  </si>
  <si>
    <t>Jumlah Per Bidang II</t>
  </si>
  <si>
    <t>Pembinaan Kemasyarakatan</t>
  </si>
  <si>
    <t>Terlaksananya Kegiatan Keamanan Desa</t>
  </si>
  <si>
    <t>Jumlah Per Bidang III</t>
  </si>
  <si>
    <t>Pemberdayaan Masyarakat</t>
  </si>
  <si>
    <t>Jumlah Per Bidang IV</t>
  </si>
  <si>
    <t>Mengetahui:</t>
  </si>
  <si>
    <t>Disusun Oleh:</t>
  </si>
  <si>
    <t>( I Wayan Kamar )</t>
  </si>
  <si>
    <t>( I Wayan Sutapa )</t>
  </si>
  <si>
    <t>3.2.02.5.2.2.01</t>
  </si>
  <si>
    <t xml:space="preserve">Pembentukan Lembaga Perlindungan Perempuan dan anak </t>
  </si>
  <si>
    <t xml:space="preserve"> : Pembinaan Adat dan Keagamaan  ( Pemlaspasan TPS 3R )</t>
  </si>
  <si>
    <t>: Pelatihan Kelompok Madu Kele-Kele</t>
  </si>
  <si>
    <t>: Kepemudaan dan Olah raga</t>
  </si>
  <si>
    <t>: Penyelenggaraan Pelatihan kepemudaan  ( Pelatihan dan Lomba Pidato tentang menumbuhkan generasi muda penerus bung karno (STT/Siswa Remaja) dan Pelatihan dan Lomba Menyanyikan Lagu Wajib (Anak SD, SMP dan SMA) Dalan Rangka Bulan Bung Karno )</t>
  </si>
  <si>
    <t>3.3.02.5.2.08</t>
  </si>
  <si>
    <t>3.3.02.5.2.90</t>
  </si>
  <si>
    <t>Piagam Peserta</t>
  </si>
  <si>
    <t>Piagam Pemenang</t>
  </si>
  <si>
    <t>Piagam Juri</t>
  </si>
  <si>
    <t>Belanja Jasa Sewa Peralatan perlengkapan</t>
  </si>
  <si>
    <t>Belanja Honorarium Pelatih</t>
  </si>
  <si>
    <t>15 orang terpenuhinya pagu maksimal</t>
  </si>
  <si>
    <t>16 orang terpenuhinya pagu maksimal</t>
  </si>
  <si>
    <t>Penyediaan oprasional kantor</t>
  </si>
  <si>
    <t>29 orang terpenuhinya pagu maksimal</t>
  </si>
  <si>
    <t>9 orang terpenuhinya pagu maksimal</t>
  </si>
  <si>
    <t>10 orang terpenuhinya pagu maksimal</t>
  </si>
  <si>
    <t>12kali</t>
  </si>
  <si>
    <t>Musyawarah BPD Dilaksanakan setiap tahun</t>
  </si>
  <si>
    <t>8 kali</t>
  </si>
  <si>
    <t>13 orang terpenuhinya pagu maksimal</t>
  </si>
  <si>
    <t>13 kali</t>
  </si>
  <si>
    <t>Kegiatan dilaksanakan setiap tahun</t>
  </si>
  <si>
    <t>1 Kali</t>
  </si>
  <si>
    <t>Tersedianya Aset Tetap perpustakaan,Ruang rapat,ruang kerja.</t>
  </si>
  <si>
    <t>3,70 x 5,60 ruangan Perbekel yang belum tertata</t>
  </si>
  <si>
    <t>1 kali</t>
  </si>
  <si>
    <t>Lancaranya informasi tentang desa</t>
  </si>
  <si>
    <t>Tertib Administrari dan Arsip Desa</t>
  </si>
  <si>
    <t>penertiban penduduk dilakukan setiap tahun</t>
  </si>
  <si>
    <t>3kali</t>
  </si>
  <si>
    <t>4kali</t>
  </si>
  <si>
    <t>2kali</t>
  </si>
  <si>
    <t>Terlaksananya kegiatan untuk remaja</t>
  </si>
  <si>
    <t>Terpenuhinya 433 anak Pemberian PMT</t>
  </si>
  <si>
    <t>Terlaksananya kebutuhan Gizi Maksimal</t>
  </si>
  <si>
    <t>Terpenuhinya Honor 30 Kader BKB Maksimal</t>
  </si>
  <si>
    <t>Terlaksananya Bina keluarga lansia</t>
  </si>
  <si>
    <t>Terpenuhinya 71 Kader Posyandu Maksimal</t>
  </si>
  <si>
    <t>Terlaksananya Koordinasi penanggulangan Stunting</t>
  </si>
  <si>
    <t>Terlaksananya Koordinasi Penanggulangan Narkoba dan HIV/AIDS</t>
  </si>
  <si>
    <t>: Pembinaan LKMD / LPM / LPMD (Pelatihan LPM)</t>
  </si>
  <si>
    <t>3.4.02.5.2.2</t>
  </si>
  <si>
    <t>3.4.02.5.2.2.04</t>
  </si>
  <si>
    <t>Narasumber  (2or x 1kali)</t>
  </si>
  <si>
    <t>Penyelenggaraan Pembangunan Desa</t>
  </si>
  <si>
    <t>Sosialisasi tentang Lingkungan Hidup dan Kehutanan ( Sosialisasi Pemilihan Sampah Rumah Tangga)</t>
  </si>
  <si>
    <t>sosialisasi</t>
  </si>
  <si>
    <t>2.5.03.5.2</t>
  </si>
  <si>
    <t>2.5.03.5.2.1</t>
  </si>
  <si>
    <t>2.5.03.5.2.1.06</t>
  </si>
  <si>
    <t>2.5.03.5.2.1.08</t>
  </si>
  <si>
    <t>2.5.03.5.2.2.3</t>
  </si>
  <si>
    <t>Honorararium Pelatih/Narasumber</t>
  </si>
  <si>
    <t>Narasumber</t>
  </si>
  <si>
    <t>0k</t>
  </si>
  <si>
    <t>Jumat Bersih</t>
  </si>
  <si>
    <t>Konsumsi ( 35 orang x 2 kali x 12bln )</t>
  </si>
  <si>
    <t>2.5.03.5.2.1.07</t>
  </si>
  <si>
    <t>Plastik Sampah Besar ( 1bh x 2kali x 12 bln )</t>
  </si>
  <si>
    <t>Cangkul Garu</t>
  </si>
  <si>
    <t>: Penyusunan/ Pendataan/Pemuktahiran Profil Desa (Pendataan SDGs Desa )</t>
  </si>
  <si>
    <t>4.3.03.5.2.1.90</t>
  </si>
  <si>
    <t>canang</t>
  </si>
  <si>
    <t>Terlaksananya Koordinasi kesehatan pada Posbindu</t>
  </si>
  <si>
    <t>Terlaksananya Koordinasi Kesehatan tentang Keluarga Berencana</t>
  </si>
  <si>
    <t>Terlaksannya kegiatan 8 orang Kader RDS Desa Siaga Kesehatan</t>
  </si>
  <si>
    <t>Terlaksananya pembinaan 30 orang Kader BKB</t>
  </si>
  <si>
    <t>Terlaksananya pembinaan 5 orang Kader BKB</t>
  </si>
  <si>
    <t>Terlaksananya kegiatan 5 orang Kader BKB</t>
  </si>
  <si>
    <t>Terlaksananya kegiatan untuk balita sehat</t>
  </si>
  <si>
    <t>Terlaksananya peningkatan kesehatan lingkungan</t>
  </si>
  <si>
    <t>Terlaksananya kegiatan 8 orang kader Rumah Desa Sehat</t>
  </si>
  <si>
    <t>Terlaksananya Penanggulangan Covid-19</t>
  </si>
  <si>
    <t>8kali</t>
  </si>
  <si>
    <t>Terlaksannya 11 orang Kebersihan lingkungan Desa</t>
  </si>
  <si>
    <t>Terlaksananya jalan usaha tahi</t>
  </si>
  <si>
    <t>1Kali</t>
  </si>
  <si>
    <t xml:space="preserve">Terlaksananya Kegiatan 10 Orang Pengolahan Sampah Desa </t>
  </si>
  <si>
    <t>Terlaksananya 2 Orang kebersihan Lingkungan</t>
  </si>
  <si>
    <t>Terlaksannya kegiatan Kebersihan Lingkungan Desa</t>
  </si>
  <si>
    <t>Terlaksananya kegiatan Transpalasi untuk Publik</t>
  </si>
  <si>
    <t>Terlaksanannya pembinaan keamanan 35 orang Linmas</t>
  </si>
  <si>
    <t>Terlaksanannya  keamanan Desa 35 orang Linmas</t>
  </si>
  <si>
    <t>Terlaksananya administrasi yang baik</t>
  </si>
  <si>
    <t>pelestarian Adat Dan Budaya</t>
  </si>
  <si>
    <t>peningkatan Kreatifitas masyarakat</t>
  </si>
  <si>
    <t>Terlaksanaan pembinaan 17 Anggota LPM</t>
  </si>
  <si>
    <t>Terlaksananya kegiatan 17 Orang LPM</t>
  </si>
  <si>
    <t>terpenuhinya adaptasi kehidupan baru</t>
  </si>
  <si>
    <t>Terlaksananya Pengimputan Data Dasawisma</t>
  </si>
  <si>
    <t>Terlaksananya Lomba Dalam Rangka Halun</t>
  </si>
  <si>
    <t>Terlaksanaya lomba antar PKK</t>
  </si>
  <si>
    <t>Pelestarian Adat dan Budaya</t>
  </si>
  <si>
    <t>Terlaksanaya kegitan Olahraga</t>
  </si>
  <si>
    <t>Terlaksananya TPS3R</t>
  </si>
  <si>
    <t>Terlaksanannya  lembaga Perempuan dan Anak</t>
  </si>
  <si>
    <t>Terleksananya Pembinaan 13 orang PKPKD, PPKD, TPK</t>
  </si>
  <si>
    <t>Terlaksananya pembinaan 11 Orang Tim Penyusun  RKPDesa</t>
  </si>
  <si>
    <t xml:space="preserve">Terlaksananya peningkatan pengetahuan perangkat Desa </t>
  </si>
  <si>
    <t>Terlaksananya Pembinaan 10 Orang BPD Desa</t>
  </si>
  <si>
    <t>Pemulihan ekonomi dengan pengembangan BUMDesa</t>
  </si>
  <si>
    <t>Terlaksananya pemerdayaan perempuan</t>
  </si>
  <si>
    <t>Peningkatan Produktifitas masyarakat</t>
  </si>
  <si>
    <t>Berjalanya pendataan SDGs</t>
  </si>
  <si>
    <t>TAHUN 2023</t>
  </si>
  <si>
    <t>Pembangunan/Rehabilitasi/Peningkatan Fasilitas Pengelolaan Sampah Desa/Permukiman (Membuat Eco Enzym)</t>
  </si>
  <si>
    <t>Sub Bidang</t>
  </si>
  <si>
    <t>: Pemeliharaan Prasarana Jalan Desa (Penggelontoran Gorong Gorong ,saluran air subak Taman Munduk Uma DiwangPKTD)</t>
  </si>
  <si>
    <t>: Pemeliharaan Prasarana Jalan Desa (Penggelontoran Gorong Gorong ,saluran air sepanjang jalan siulan)</t>
  </si>
  <si>
    <t>:  Penyelenggaraan Pelatihan Kepemudaan (Pembinaan dan Lomba Sate Renteng STT Memperigati Hut Kota Denpasar)</t>
  </si>
  <si>
    <t>Pemeliharaan Taman/Taman Bermain Anak Milik Desa (Penanaman Bunga Jempiring)</t>
  </si>
  <si>
    <t>PembangunanFasilitas Pengelolaan Sampah Desa (Pembuatan Teba Modern)</t>
  </si>
  <si>
    <t>Pemeliharaan Sarana dan Prasarana TK Milik Desa (Water Profing)</t>
  </si>
  <si>
    <t>: Pelatihan untuk Perikanan Darat (Pelatihan Membuat Pakan Ikan Lele)  **</t>
  </si>
  <si>
    <t>Terpeliharanya prasarana TK milik Desa</t>
  </si>
  <si>
    <t>Terlaksananya Pengelontoran Subak Taman Munduk Diwang</t>
  </si>
  <si>
    <t>terlaksananya Pengelontoran sepanjang jalan siulan</t>
  </si>
  <si>
    <t>Terlaksanaya Penanaman Bunga Jempiring</t>
  </si>
  <si>
    <t>Terlaksanya pengelolaan sampah desa</t>
  </si>
  <si>
    <t>Terlaksanaya Pengelolaan Sampah Desa</t>
  </si>
  <si>
    <t xml:space="preserve">: Pelatihan/ Penyuluhan Pemberdayaan Perempuan (Pelatihan Serati Banten untuk PKK Desa ) </t>
  </si>
  <si>
    <t>: Pengelolaan Administrasi dan Kearsipan pemerintahan Desa ( Pelatihan )</t>
  </si>
  <si>
    <t>DAFTAR PRIORITAS USULAN RENCANA PROGRAM/KEGIATAN PEMBANGUNAN DESA UNTUK SATU TAHUN ANGGARAN BERIKUTNYA</t>
  </si>
  <si>
    <t>TAHUN 2022</t>
  </si>
  <si>
    <t>Mendukung SDGs Desa Ke-</t>
  </si>
  <si>
    <t xml:space="preserve">Data Eksisting Tahun Berjalan </t>
  </si>
  <si>
    <t xml:space="preserve">Lokasi </t>
  </si>
  <si>
    <t>Prakiraan Volume &amp; Satuan</t>
  </si>
  <si>
    <t>Prakiraan Biaya dan Sumber Pembiayaan</t>
  </si>
  <si>
    <t>Urutan Prioritas</t>
  </si>
  <si>
    <t>Nama Program/Kegiatan</t>
  </si>
  <si>
    <t>L</t>
  </si>
  <si>
    <t>P</t>
  </si>
  <si>
    <t>RTM</t>
  </si>
  <si>
    <t>Jumlah (Rp)</t>
  </si>
  <si>
    <t>Pemeliharaan Sarana dan Prasarana TK Milik Desa (Pembangunan Ruang Komputer)</t>
  </si>
  <si>
    <t>PembangunanFasilitas Pengelolaan Sampah Desa (Pekerjaan Pendukung dan Halaman TPS 3R)</t>
  </si>
  <si>
    <t>: Penguatan Ketahanan Pangan Tingkat Desa ( lumbung Desa dll)</t>
  </si>
  <si>
    <t>Foto copy</t>
  </si>
  <si>
    <t>Terlaksanaya Pelatihan Tenaga Kerja Tukang</t>
  </si>
  <si>
    <t>DAFTAR USULAN RKP DESA</t>
  </si>
  <si>
    <t xml:space="preserve">DESA                </t>
  </si>
  <si>
    <t>Penatih Dangin Puri</t>
  </si>
  <si>
    <t xml:space="preserve">KECAMATAN   </t>
  </si>
  <si>
    <t>Denpasar Timur</t>
  </si>
  <si>
    <t xml:space="preserve">KABUPATEN    </t>
  </si>
  <si>
    <t>Kota Denpasar</t>
  </si>
  <si>
    <t xml:space="preserve">PROVINSI        </t>
  </si>
  <si>
    <t>Bali</t>
  </si>
  <si>
    <t>Sasaran/ Manfaat</t>
  </si>
  <si>
    <t>Prakiraan Waktu Pelaksanaan</t>
  </si>
  <si>
    <t>Perkiraan Jumlah Biaya</t>
  </si>
  <si>
    <t>Sumber Pembiayaan</t>
  </si>
  <si>
    <t>1Set</t>
  </si>
  <si>
    <t>APBD Kota</t>
  </si>
  <si>
    <t>Pengaspalan dan Penataan Trotoar Sepanjang Siulan</t>
  </si>
  <si>
    <t>2540m</t>
  </si>
  <si>
    <t>Memperlancar sarana tranportasi masyarakat</t>
  </si>
  <si>
    <t>171 Hari</t>
  </si>
  <si>
    <t>Jumlah Per Bidang 2</t>
  </si>
  <si>
    <t>Jumlah Per Bidang 3</t>
  </si>
  <si>
    <t>Jumlah Per Bidang 4</t>
  </si>
  <si>
    <t>JUMLAH TOTAL</t>
  </si>
  <si>
    <t>Kepala Desa</t>
  </si>
  <si>
    <t>TAHUN : 2024</t>
  </si>
  <si>
    <t>: Penyertaan Modal BUMDesa</t>
  </si>
  <si>
    <t>: Pelatihan Tukang (Pelatihan Baja Ringan)</t>
  </si>
  <si>
    <t xml:space="preserve"> :Pendampingan calon pengantin</t>
  </si>
  <si>
    <t>Pendampingan Calon Pengantin</t>
  </si>
  <si>
    <t>Pembuatan Video Sosialisasi</t>
  </si>
  <si>
    <t>Terlaksananya pendampingan 50 orang calon penganti</t>
  </si>
  <si>
    <t>25kali</t>
  </si>
  <si>
    <t>Jumlah Bidang I</t>
  </si>
  <si>
    <t>30 kali</t>
  </si>
  <si>
    <t>Jumlah Bidang II</t>
  </si>
  <si>
    <t>Jumlah Bidang III</t>
  </si>
  <si>
    <t>Jumlah Bidang IV</t>
  </si>
  <si>
    <t>Bidang Penyelenggaraan Pemerintah Desa</t>
  </si>
  <si>
    <t>Bidang Pelaksanaan Pembangunan Desa</t>
  </si>
  <si>
    <t>Bidang Pembinaan Masyarakat Desa</t>
  </si>
  <si>
    <t>Bidang Pemberdayaan Masyarakat Desa</t>
  </si>
  <si>
    <t>DAFTAR USULAN MASYARAKAT DIPILIH BERDASARKAN SDGs</t>
  </si>
  <si>
    <t>Mendukung SDGs Ke</t>
  </si>
  <si>
    <t>Usulan Kegiatan</t>
  </si>
  <si>
    <t>Pengusul</t>
  </si>
  <si>
    <t>Lokasi Kegiatan</t>
  </si>
  <si>
    <t>prakiraan Volume &amp;Satuan</t>
  </si>
  <si>
    <t>( 1 ) Desa Tanpa Kemiskinan</t>
  </si>
  <si>
    <t>Pemerintahan Desa</t>
  </si>
  <si>
    <t>BUMDesa</t>
  </si>
  <si>
    <t>Masyarakat</t>
  </si>
  <si>
    <t>( 2 ) Desa Tanpa Kelaparan</t>
  </si>
  <si>
    <t>Pemerintah Desa</t>
  </si>
  <si>
    <t>( 3 ) Desa Sehat Sejahtera</t>
  </si>
  <si>
    <t>TK Kumara Sari VI</t>
  </si>
  <si>
    <t>( 4 ) Pendidikan Desa Berkualitas</t>
  </si>
  <si>
    <t>( 5 ) Keterlibatan Perempuan Desa</t>
  </si>
  <si>
    <t>(6) Desa Layak Air Bersih Dan Sanitasi</t>
  </si>
  <si>
    <t>(7) Desa Berenergi Bersih Dan Terbarukan</t>
  </si>
  <si>
    <t>(8) Pertumbuhan Ekonomi Desa Merata</t>
  </si>
  <si>
    <t xml:space="preserve">(9) Infrastruktur Dan Inovasi Desa Sesuai Kebutuhan  </t>
  </si>
  <si>
    <t xml:space="preserve">(10) Desa Tanpa Kesenjangan  </t>
  </si>
  <si>
    <t>(11) Kawasan Pemukiman Desa Aman Dan Nyaman</t>
  </si>
  <si>
    <t>(12) Konsumsi Dan Produksi Desa Sadar Lingkungan</t>
  </si>
  <si>
    <t>(13) Desa Tanggap Perubahan Iklim</t>
  </si>
  <si>
    <t>(14) Desa Peduli Lingkungan Laut</t>
  </si>
  <si>
    <t>(15) Desa Peduli Lingkungan Darat</t>
  </si>
  <si>
    <t>(16) Desa Damai Bekeadilan</t>
  </si>
  <si>
    <t>(17) Kemitraan Untuk pembangunan Desa</t>
  </si>
  <si>
    <t>(18) Kelembagaan Desa Dinamis Dan Budaya Desa Adaktif</t>
  </si>
  <si>
    <t>Mengetahui,</t>
  </si>
  <si>
    <t>Tim Penyusun RKP Desa</t>
  </si>
  <si>
    <t>BPD</t>
  </si>
  <si>
    <t>Kader Posyandu</t>
  </si>
  <si>
    <t>Posyandu</t>
  </si>
  <si>
    <t>posyandu</t>
  </si>
  <si>
    <t>Bina Keluarga Balita</t>
  </si>
  <si>
    <t>Bina Keluarga lansia</t>
  </si>
  <si>
    <t>kader lansia</t>
  </si>
  <si>
    <t>Kader Posbindu</t>
  </si>
  <si>
    <t>masyarakat</t>
  </si>
  <si>
    <t>Kader BKB</t>
  </si>
  <si>
    <t>Kader BKR</t>
  </si>
  <si>
    <t>kader RDS</t>
  </si>
  <si>
    <t>Linmas</t>
  </si>
  <si>
    <t>PKK</t>
  </si>
  <si>
    <t>LPM</t>
  </si>
  <si>
    <t>Bumdesa</t>
  </si>
  <si>
    <t>linmas</t>
  </si>
  <si>
    <t>Pkk</t>
  </si>
  <si>
    <t xml:space="preserve">: Pelatihan/ Penyuluhan Pemberdayaan Perempuan (Pelatihan Pembuatan Jamu Tradisional Desa ) </t>
  </si>
  <si>
    <t>: Penguatan Dan Peningkatan Kapasitas Tenaga Keamanan dan Ketertiban Oleh Pemerintah Desa( Pembentukan tim tanggap bencana )</t>
  </si>
  <si>
    <t>Penjaringan dan Penyaringan Perangkat Desa/Staf</t>
  </si>
  <si>
    <t>Terlaksanaya Penjaringan Perangkat Desa/Staf</t>
  </si>
  <si>
    <t>DAFTAR RENCANA KERJASAMA ANTAR DESA</t>
  </si>
  <si>
    <t xml:space="preserve">Prakiraan Biaya dan Sumber pembiayaan yang Ditanggung Desa </t>
  </si>
  <si>
    <t>Prakiraan Biaya Dan Sumber pembiayaan yang Ditanggung Desa Lain</t>
  </si>
  <si>
    <t>Nama Program/ Kegiatan</t>
  </si>
  <si>
    <t>Nama Desa Lain</t>
  </si>
  <si>
    <t>I</t>
  </si>
  <si>
    <t>Jumlah Per Bidang I</t>
  </si>
  <si>
    <t>II</t>
  </si>
  <si>
    <t>III</t>
  </si>
  <si>
    <t>IV</t>
  </si>
  <si>
    <t>Penatih Dangin Puri,….</t>
  </si>
  <si>
    <t>LAPORAN PERKEMBANGAN PELAKSANAAN KEGIATAN PEMBANGUNAN DESA</t>
  </si>
  <si>
    <t>BULAN:……………………………………………..TAHUN:…………………………………………………</t>
  </si>
  <si>
    <t>:……………………………</t>
  </si>
  <si>
    <t>KABUPATEN</t>
  </si>
  <si>
    <t>Biaya (Rp)</t>
  </si>
  <si>
    <t>Realisasi Penerima Manfaat</t>
  </si>
  <si>
    <t>Rencana Waktu</t>
  </si>
  <si>
    <t>Progres Kegiatan</t>
  </si>
  <si>
    <t>Laki-Laki</t>
  </si>
  <si>
    <t>Perempuan</t>
  </si>
  <si>
    <t>Jumlah Hari</t>
  </si>
  <si>
    <t>Tanggal Mulai</t>
  </si>
  <si>
    <t>Fisik %</t>
  </si>
  <si>
    <t>p</t>
  </si>
  <si>
    <t xml:space="preserve">Penyelenggaraan Pemerintahan Desa </t>
  </si>
  <si>
    <t>Desa……….Tanggal…………………</t>
  </si>
  <si>
    <t>Pelaksana Kegiatan……………………</t>
  </si>
  <si>
    <t>(………………………..)</t>
  </si>
  <si>
    <t>(……………………………….)</t>
  </si>
  <si>
    <t>DAFTAR RENCANA KERJASAMA PIHAK KETIGA</t>
  </si>
  <si>
    <t>FORMAT DATA DAN INFORMASI TENTANG RENCANA PEMBIAYAAN PEMBANGUNAN DESA</t>
  </si>
  <si>
    <t>Nama program /Kegiatan</t>
  </si>
  <si>
    <t>Jumlah Dana Indikatif ( Rp )</t>
  </si>
  <si>
    <t>PADesa</t>
  </si>
  <si>
    <t>Dana Desa (APBN)</t>
  </si>
  <si>
    <t>Alokasi Dana Desa (Bagian Dana Perimbangan Kota)</t>
  </si>
  <si>
    <t>Dana Bagian Dari Hasil pajak Dan Restibusi</t>
  </si>
  <si>
    <t>Bantuan Keuangan</t>
  </si>
  <si>
    <t xml:space="preserve">Sumber Keuangan lainya Yang Sah Dan Tidak Mengikat </t>
  </si>
  <si>
    <t>APBD Provinsi</t>
  </si>
  <si>
    <t>Pendapatan Trasfer</t>
  </si>
  <si>
    <t>DAFTAR PRIORITAS KEGITAN DANA DESA</t>
  </si>
  <si>
    <t>Pemberdayaan Masyarakat Desa</t>
  </si>
  <si>
    <t>Desa Penatih Dangin Puri, 21 Oktober 2022</t>
  </si>
  <si>
    <t>Ketua Penyusun RKP Desa Tahun 2023</t>
  </si>
  <si>
    <t>Penatih Dangin Puri,21 Oktober 2022</t>
  </si>
  <si>
    <t>Tim Penyusun RKP Desa Tahun 2023</t>
  </si>
  <si>
    <t>Penatih Dangin Puri, 21 Oktober 2022</t>
  </si>
  <si>
    <t>Perbekel  Penatih Dangin Puri</t>
  </si>
  <si>
    <t>Terlaksanaya kegitan Mengikuti Lomba Hut Kota</t>
  </si>
  <si>
    <t>Desa/Kelurahan</t>
  </si>
  <si>
    <t>Pagu Dana</t>
  </si>
  <si>
    <t>ADD</t>
  </si>
  <si>
    <t>Dana Desa</t>
  </si>
  <si>
    <t>BHP</t>
  </si>
  <si>
    <t>BHR</t>
  </si>
  <si>
    <t>DDS</t>
  </si>
  <si>
    <t>DAU TAMBAHAN</t>
  </si>
  <si>
    <t>APBD</t>
  </si>
  <si>
    <t>DID</t>
  </si>
  <si>
    <t>PAD</t>
  </si>
  <si>
    <t>USULAN DANA DESA/KELURAHAN TAHUN 2023</t>
  </si>
  <si>
    <t>BIDANG KESEHATAN</t>
  </si>
  <si>
    <t>Pembangunan Jalan Alternatif Dari Nagasari sampai Jalan Siulan</t>
  </si>
  <si>
    <t>615m</t>
  </si>
  <si>
    <t>Terlaksananya Koordinasi Gerakan Masyarakat Hidup Bersih Dan Sehat</t>
  </si>
  <si>
    <t>Memperlancar Lalulintas</t>
  </si>
  <si>
    <t>125 Hari</t>
  </si>
  <si>
    <t>TAHUN ANGGARAN 2024</t>
  </si>
  <si>
    <t>Desa Penatih Dangin Puri,</t>
  </si>
  <si>
    <t>Ketua Tim Penyusun RKP Desa 2024</t>
  </si>
  <si>
    <t>Konsumsi  50 x 12 bln x 3 Kali</t>
  </si>
  <si>
    <t xml:space="preserve">Desa Penatih Dangin Puri, </t>
  </si>
  <si>
    <t>: Tambahan  Penghasilan Perangkat Desa dari BKK</t>
  </si>
  <si>
    <t>Skedes</t>
  </si>
  <si>
    <t>Kasi 3orx12bln</t>
  </si>
  <si>
    <t>Kaur 3orx12</t>
  </si>
  <si>
    <t>Kadus 8or x 12</t>
  </si>
  <si>
    <t>Konsumsi kotak 80or x 4 kali Musdes</t>
  </si>
  <si>
    <t>uang saku peserta (80or x 4)</t>
  </si>
  <si>
    <t>Plastisin</t>
  </si>
  <si>
    <t>Belanja Tablet Penambah Darah</t>
  </si>
  <si>
    <t>Pepel</t>
  </si>
  <si>
    <t>Belanja Perlengkapan Alat Tulis Kantor Dan Benda Pos</t>
  </si>
  <si>
    <t>: Pelaksanaan Pengentasan stunting dari hulu</t>
  </si>
  <si>
    <t>Sewa Bondres</t>
  </si>
  <si>
    <t xml:space="preserve"> :  Pengasuhan Bersama atau Bina Keluarga Lansia (Penyelenggaraan BKL)</t>
  </si>
  <si>
    <t xml:space="preserve">Penyelengggaraan TPPS Desa </t>
  </si>
  <si>
    <t>Pensil lumograf 100.2B</t>
  </si>
  <si>
    <t>2.2.93.5.2.2</t>
  </si>
  <si>
    <t>Honorarium TPPS (4or x 4kl)</t>
  </si>
  <si>
    <t>II.23</t>
  </si>
  <si>
    <t>: ADD</t>
  </si>
  <si>
    <t xml:space="preserve">Solar L300  </t>
  </si>
  <si>
    <t>Pemeliharaan Bak Truk</t>
  </si>
  <si>
    <t>:Koordinasi Pembinaan Ketentraman, Ketertiban, dan Perlindungan Masyarakat (Penjagaan Linmas Desa)</t>
  </si>
  <si>
    <t>3.1.03.5.2.1.05</t>
  </si>
  <si>
    <t>3.1.03.5.2.1.04</t>
  </si>
  <si>
    <t>3.1.03.5.2.2.01</t>
  </si>
  <si>
    <t>3.1.03.5.2.2.04</t>
  </si>
  <si>
    <t>3.1.03.5.2.6</t>
  </si>
  <si>
    <t>3.1.03.5.2.6.02</t>
  </si>
  <si>
    <t>Belanja Bendera/Umbul - umbul/ Spanduk</t>
  </si>
  <si>
    <t>Honor Narasumber ( 6 or x 5 kl)</t>
  </si>
  <si>
    <t xml:space="preserve">Tropy Ukir Kayu </t>
  </si>
  <si>
    <t>Konsumsi Pembinaan</t>
  </si>
  <si>
    <t>Kostum Peserta</t>
  </si>
  <si>
    <t>Honorarium Pelatih</t>
  </si>
  <si>
    <t>Belanja Uang Saku Peserta</t>
  </si>
  <si>
    <t>Konsumsi 100 or x 1 kl</t>
  </si>
  <si>
    <t>Konsumsi Rapat</t>
  </si>
  <si>
    <t>Rautan Pensil</t>
  </si>
  <si>
    <t>Penghapus</t>
  </si>
  <si>
    <t>Meja Lipat</t>
  </si>
  <si>
    <t>Kostum Peserta ( 4 Or )</t>
  </si>
  <si>
    <t>Berias Peserta ( 4 Or )</t>
  </si>
  <si>
    <t>Konsumsi Pelatihan ( 30 or x 1 Kali)</t>
  </si>
  <si>
    <t xml:space="preserve">Sumber Dana  :      </t>
  </si>
  <si>
    <t>3.4.03.5.2.1.01</t>
  </si>
  <si>
    <t>3.4.03.5.2.1.09</t>
  </si>
  <si>
    <t>3.4.03.5.2.2.05</t>
  </si>
  <si>
    <t>Jumlah Per Bidang Penyelenggaraan Pemerintah Desa</t>
  </si>
  <si>
    <t>Jumlah PerBidang Pembangunan</t>
  </si>
  <si>
    <t>Jumlah Perbidang Pembinaan Kemasyarakatn Desa</t>
  </si>
  <si>
    <t>Jumlah PerBidang Pemberdayaan Masyarakat</t>
  </si>
  <si>
    <t>TAHUN 2024</t>
  </si>
  <si>
    <t xml:space="preserve">Bidang                     </t>
  </si>
  <si>
    <t>No. RAB      :</t>
  </si>
  <si>
    <t>Sumber Dana :</t>
  </si>
  <si>
    <t>Volume               :</t>
  </si>
  <si>
    <t>Waktu Pelaksanaan         : 12 Bulan</t>
  </si>
  <si>
    <t>Belanja Upah</t>
  </si>
  <si>
    <t>Tukang</t>
  </si>
  <si>
    <t>Pekerja</t>
  </si>
  <si>
    <t>Bahan Baku</t>
  </si>
  <si>
    <t>Pasir Pasang</t>
  </si>
  <si>
    <t>Semen</t>
  </si>
  <si>
    <t>kg</t>
  </si>
  <si>
    <t>m2</t>
  </si>
  <si>
    <t>Papan Proyek</t>
  </si>
  <si>
    <t>Prasasti</t>
  </si>
  <si>
    <t>: Bidang Kebudayaan dan Keagamaan</t>
  </si>
  <si>
    <t>Honorarium Tim Yang Melaksanakan Kegiatan</t>
  </si>
  <si>
    <t>Skretaris</t>
  </si>
  <si>
    <t>Pasir Urug</t>
  </si>
  <si>
    <t>Paving 8 "K225 Polos</t>
  </si>
  <si>
    <t>Kanstin S K225</t>
  </si>
  <si>
    <t>: Pekerjaan Umum Penataan Ruang</t>
  </si>
  <si>
    <t xml:space="preserve">Belanja Modal </t>
  </si>
  <si>
    <t xml:space="preserve"> RENCANA ANGGARAN BIAYA</t>
  </si>
  <si>
    <t>: Kegiatan Bakti Penganyaran</t>
  </si>
  <si>
    <t>3.2.95.5.2</t>
  </si>
  <si>
    <t>3.2.95.5.2.4</t>
  </si>
  <si>
    <t xml:space="preserve">Belanja Jasa Sewa </t>
  </si>
  <si>
    <t>3.2.95..5.2.4.03</t>
  </si>
  <si>
    <t>Belanja Jasa Sewa Sarana Mobilitas</t>
  </si>
  <si>
    <t>Nganyarin ke Pura Mandara Giri Lumajang</t>
  </si>
  <si>
    <t>Nganyarin ke Pura Penataran Agung Rinjani</t>
  </si>
  <si>
    <t>3.2.03.5.2</t>
  </si>
  <si>
    <t>3.2.03.5.2.1</t>
  </si>
  <si>
    <t>3.2.03.5.2.1.06</t>
  </si>
  <si>
    <t>3.2.03.5.2.1.08</t>
  </si>
  <si>
    <t>3.2.03.5.2.1.90</t>
  </si>
  <si>
    <t>3.2.03.5.2.2</t>
  </si>
  <si>
    <t>3.2.03.5.2.2.04</t>
  </si>
  <si>
    <t>4.4.01.5.2.1</t>
  </si>
  <si>
    <t>4.4.01.5.2.1.07</t>
  </si>
  <si>
    <t>Belanaja Bahan/Material</t>
  </si>
  <si>
    <t>4.4.01.5.2.1.08</t>
  </si>
  <si>
    <t>4.4.01.5.2.2</t>
  </si>
  <si>
    <t>4.4.01.5.2.2.04</t>
  </si>
  <si>
    <t>Jasa Narasumber ( 2 or x 1kali )</t>
  </si>
  <si>
    <t>Belanja Jasa Sewa Peralatan/Perlengkapan</t>
  </si>
  <si>
    <t>: Pembinaan Karang Taruna</t>
  </si>
  <si>
    <t>3.3.06.5.2</t>
  </si>
  <si>
    <t>3.3.06.5.2.1</t>
  </si>
  <si>
    <t>3.3.06.5.2.1.06</t>
  </si>
  <si>
    <t>3.3.06.5.2.1.08</t>
  </si>
  <si>
    <t>3.3.06.5.2.2</t>
  </si>
  <si>
    <t>3.3.06.5.2.2.04</t>
  </si>
  <si>
    <t>Belanja Jasa Honorarium Ahli/Profesi/Narasumber</t>
  </si>
  <si>
    <t>Honor Pelatih / Instruktur ( 1 or x 1kali )</t>
  </si>
  <si>
    <t>: Kepemudaan dan Olahraga</t>
  </si>
  <si>
    <t>: Pelatihan Kesiapsiagaan/Tanggap Bencana Skala Lokal Desa ( Pelatihan Tanggap Darurat Bencana )</t>
  </si>
  <si>
    <t>3.1.04.5.2</t>
  </si>
  <si>
    <t>3.1.04.5.2.1</t>
  </si>
  <si>
    <t>3.1.04.5.2.1.06</t>
  </si>
  <si>
    <t>Konsumsi (45 or x 1 hr)</t>
  </si>
  <si>
    <t>3.1.04.5.2.1.08</t>
  </si>
  <si>
    <t>3.1.04.5.2.1.90</t>
  </si>
  <si>
    <t>3.1.04.5.2.2</t>
  </si>
  <si>
    <t>3.1.04.5.2.2.04</t>
  </si>
  <si>
    <t>Penyedian Jaminan Keshatan dan ketenagakerjaan BPD</t>
  </si>
  <si>
    <t>1.1.93.5.1</t>
  </si>
  <si>
    <t>.31.1.93.5.1</t>
  </si>
  <si>
    <t>Belanja Jaminan Sosial Perbekel dan Perangkat Desa</t>
  </si>
  <si>
    <t>Jaminan Kesehatan BPD</t>
  </si>
  <si>
    <t>Jaminan Kesehatan Anggota BPD (6or x12BLN)</t>
  </si>
  <si>
    <t>Jaminan Kesehatan Sekretaris BPD (1or x 12Bln)</t>
  </si>
  <si>
    <t>Jaminan Kesehatan Wakil Ketua BPD (1or x 12 Bln)</t>
  </si>
  <si>
    <t>Jaminan Kesehatan Ketua BPD (1or x 12bln)</t>
  </si>
  <si>
    <t>.31.1.93.5.1.02</t>
  </si>
  <si>
    <t>.31.1.93.5.1.04</t>
  </si>
  <si>
    <t>Jaminan Ketenagakerjaan BPD</t>
  </si>
  <si>
    <t>Jaminan Ketenagakerjaan Ketua BPD (1or x 12bln)</t>
  </si>
  <si>
    <t>Jaminan Ketenagakerjaan Wakil Ketua BPD (1or x 12 Bln)</t>
  </si>
  <si>
    <t>Jaminan Ketenangakerjaan Sekretaris BPD (1or x 12Bln)</t>
  </si>
  <si>
    <t>Jaminan Ketenagakerjaan Anggota BPD (6or x12BLN)</t>
  </si>
  <si>
    <t>Penyedian Jaminan Keshatan dan ketenagakerjaan Staf Desa</t>
  </si>
  <si>
    <t>Jaminan Kesehatan Staf IT (1or x 12 Bln)</t>
  </si>
  <si>
    <t>Jaminan Kesehatan Satf Siskeudes (1or x 12Bln)</t>
  </si>
  <si>
    <t>Jaminan Kesehatan KPM (1or x12BLN)</t>
  </si>
  <si>
    <t>Jaminan Kesehatan Cleaning Service (2or x12BLN)</t>
  </si>
  <si>
    <t>Jaminan Kesehatan Staf</t>
  </si>
  <si>
    <t>Penyedian Jaminan Ketenagakerjaan Ekosistem Desa</t>
  </si>
  <si>
    <t>Kader Posyandu 65or</t>
  </si>
  <si>
    <t>Kader Posbindu 5or</t>
  </si>
  <si>
    <t>Kader BKB 30or</t>
  </si>
  <si>
    <t>Kader BKL 5or</t>
  </si>
  <si>
    <t>Kader BKR 5or</t>
  </si>
  <si>
    <t>Kader Posyandu Remaja 15or</t>
  </si>
  <si>
    <t>Sopir Pengangkut Sampah 2or</t>
  </si>
  <si>
    <t>Tenaga Pengangkut Sampah 6or</t>
  </si>
  <si>
    <t>Linmas 36</t>
  </si>
  <si>
    <t>Petugas Kebersihan Lingkungan 2or</t>
  </si>
  <si>
    <t>Petugas Bank Sampah 9or</t>
  </si>
  <si>
    <t>Helm Motor</t>
  </si>
  <si>
    <t xml:space="preserve">: Penyelenggaraan Belanja Penghasilan Tetap, Tunjangan dan Operasional Pemerintah Desa </t>
  </si>
  <si>
    <t>: Penyediaan Operasional BPD (Rapat FKAKD)</t>
  </si>
  <si>
    <t xml:space="preserve">Konsumsi 50 or x  4 kali </t>
  </si>
  <si>
    <t>1.1.93.5.2</t>
  </si>
  <si>
    <t>1.1.93.5.2.1</t>
  </si>
  <si>
    <t>1.1.93.5.2.1.01</t>
  </si>
  <si>
    <t>1.1.93.5.2.1.06</t>
  </si>
  <si>
    <t>1.1.93.5.2.1.08</t>
  </si>
  <si>
    <t>1.1.93.5.2.2</t>
  </si>
  <si>
    <t>1.1.93.5.2.2.01</t>
  </si>
  <si>
    <t>1.1.93.5.2.2.05</t>
  </si>
  <si>
    <t>3.2.03.5.2.4</t>
  </si>
  <si>
    <t>3.2.03.5.2.4.02</t>
  </si>
  <si>
    <t>3.2.03.5.2.7</t>
  </si>
  <si>
    <t>3.2.03.5.2.7.90</t>
  </si>
  <si>
    <t>3.2.03.5.2.1.07</t>
  </si>
  <si>
    <t>3.2.03.5.2.7.91</t>
  </si>
  <si>
    <t>3.3.90.5.2.7</t>
  </si>
  <si>
    <t>3.3.90.5.2.7.01</t>
  </si>
  <si>
    <t>Untuk menunjang kreativitas Sekaa Teruna</t>
  </si>
  <si>
    <t>Sekaa</t>
  </si>
  <si>
    <t>BKK Kota</t>
  </si>
  <si>
    <t>Honorarium kader BKR ( 5or x 1 kelompok x 12 bulan)</t>
  </si>
  <si>
    <t>3.4.04.5.2</t>
  </si>
  <si>
    <t>3.4.04.5.2.1</t>
  </si>
  <si>
    <t>3.4.04.5.2.1.01</t>
  </si>
  <si>
    <t>3.4.04.5.2.1.06</t>
  </si>
  <si>
    <t xml:space="preserve">Konsumsi Pelatihan </t>
  </si>
  <si>
    <t>3.4.04.5.2.1.90</t>
  </si>
  <si>
    <t>3.4.04.5.2.2</t>
  </si>
  <si>
    <t>3.4.04.5.2.2.04</t>
  </si>
  <si>
    <t>Honor Narasumber</t>
  </si>
  <si>
    <t>3.4.04.5.2.2.05</t>
  </si>
  <si>
    <t>Honor Petugas penginputan data</t>
  </si>
  <si>
    <t>2.1.03.5.2.2</t>
  </si>
  <si>
    <t>: Rembuk Stunting</t>
  </si>
  <si>
    <t>2.2.93.5.2.1.08</t>
  </si>
  <si>
    <t>1 Orang Terpenuhinya Pagu Maksimal</t>
  </si>
  <si>
    <t>12 Kl</t>
  </si>
  <si>
    <t>1 Orang</t>
  </si>
  <si>
    <t>15Orang Terpenuhinya Pagu Maksimal</t>
  </si>
  <si>
    <t>15 Orang</t>
  </si>
  <si>
    <t>16 Orang Terpenuhinya Pagu Maksimal</t>
  </si>
  <si>
    <t>16 Orang</t>
  </si>
  <si>
    <t>Penyediaan Oprasional Kanor</t>
  </si>
  <si>
    <t>29 Orang</t>
  </si>
  <si>
    <t xml:space="preserve">12 Bulan </t>
  </si>
  <si>
    <t>9 Orang</t>
  </si>
  <si>
    <t>10 Orang</t>
  </si>
  <si>
    <t>1 orang</t>
  </si>
  <si>
    <t>29 orang</t>
  </si>
  <si>
    <t>15 orang</t>
  </si>
  <si>
    <t>Tersedianya Aset Tetap ruang kerja.</t>
  </si>
  <si>
    <t>4Kali</t>
  </si>
  <si>
    <t>12 kl</t>
  </si>
  <si>
    <t>9orang</t>
  </si>
  <si>
    <t>3, 10, 16</t>
  </si>
  <si>
    <t>3, 6, 12</t>
  </si>
  <si>
    <t>3. 4</t>
  </si>
  <si>
    <t>80 orang</t>
  </si>
  <si>
    <t>30 orang</t>
  </si>
  <si>
    <t>12 Kali</t>
  </si>
  <si>
    <t>Terlaksananya pendampingan 40orang calon penganti</t>
  </si>
  <si>
    <t>40 orang</t>
  </si>
  <si>
    <t>384 orang</t>
  </si>
  <si>
    <t>35 orang</t>
  </si>
  <si>
    <t>60 orang</t>
  </si>
  <si>
    <t>210orang</t>
  </si>
  <si>
    <t>Teratasinya masalah Stunting</t>
  </si>
  <si>
    <t>Terpetakanya masalah stunting di lingkungan desa</t>
  </si>
  <si>
    <t>2 orang</t>
  </si>
  <si>
    <t>Terlaksanannya  keamanan Desa 36 orang Linmas</t>
  </si>
  <si>
    <t>36 orang</t>
  </si>
  <si>
    <t>28 orang</t>
  </si>
  <si>
    <t>45 orang</t>
  </si>
  <si>
    <t>Terbaharukan Organisasi Karang Taruna</t>
  </si>
  <si>
    <t>17orang</t>
  </si>
  <si>
    <t>1.1.93.5.1.02</t>
  </si>
  <si>
    <t xml:space="preserve">Bidang     </t>
  </si>
  <si>
    <t>: Pendidikan</t>
  </si>
  <si>
    <t xml:space="preserve">Kegiatan          </t>
  </si>
  <si>
    <t>Pembinaan</t>
  </si>
  <si>
    <t>2.1.03.5.2</t>
  </si>
  <si>
    <t>2.1.03.5.2.1</t>
  </si>
  <si>
    <t>2.1.03.5.2.1.01</t>
  </si>
  <si>
    <t>Lontar</t>
  </si>
  <si>
    <t>2.1.03.5.2.1.06</t>
  </si>
  <si>
    <t>Belanja Barang Perlengkapan Konsumsi</t>
  </si>
  <si>
    <t>2.1.03.5.2.1.08</t>
  </si>
  <si>
    <t>2.1.03.5.2.2.01</t>
  </si>
  <si>
    <t>Terlaksananya Pembinaan Bahasa Bali Untuk Anak</t>
  </si>
  <si>
    <t>25or</t>
  </si>
  <si>
    <t>:Kesehatan</t>
  </si>
  <si>
    <t>Penyuluhan dan Pelatihan Bidang Kesehatan (PHBS)</t>
  </si>
  <si>
    <t>Konsumsi (Kader Posyandu 65 or + Narasumber 2or + PPKD 2or + Perbekel 1 or)</t>
  </si>
  <si>
    <t>Terlaksananya Penyluhan PHBS Kepada 65 Kader Posyandu</t>
  </si>
  <si>
    <t>65orang</t>
  </si>
  <si>
    <t>: Pemukiman</t>
  </si>
  <si>
    <t>Belanja Modal Gedung Bangunan dan Taman</t>
  </si>
  <si>
    <t>: Penyuluhan dan Pelatihan Pendidikan Bagi Masyarakat ( Pembinaan dan Penyelenggaraan Bunda Literasi )</t>
  </si>
  <si>
    <t>Block Book</t>
  </si>
  <si>
    <t>Bolt Point</t>
  </si>
  <si>
    <t>Konsumsi Pelatihan 7orang Pengurus PKK + 2orang Narasumber 1 Orang Perbekel + 2orang PPKD</t>
  </si>
  <si>
    <t>Konsumsi Kegiatan 7or Pengurus PKK + 2 Or PPKD + 50 Or Peserta x 3KL</t>
  </si>
  <si>
    <t>2.1.03.5.2.1.07</t>
  </si>
  <si>
    <t>Kostim Pengurus PKK 7orang</t>
  </si>
  <si>
    <t>Tatarias 7 orang x 3Kl</t>
  </si>
  <si>
    <t>Pelatih ( 2 or X 1Kl )</t>
  </si>
  <si>
    <t>Terselenggaranya Kegiatan Bunda Literasi</t>
  </si>
  <si>
    <t>7or</t>
  </si>
  <si>
    <t>kaleng</t>
  </si>
  <si>
    <t>:Peningkatan Sarana Prasarana Perpustakaan/Taman Bacaan Desa/ Sanggar Belajar Milik Desa (Perpustakaan Digital dan keliling)</t>
  </si>
  <si>
    <t>2.1.07.5.2</t>
  </si>
  <si>
    <t>2.1.07.5.2.1</t>
  </si>
  <si>
    <t>2.1.07.5.2.1.01</t>
  </si>
  <si>
    <t>2.1.07.5.2.1.04</t>
  </si>
  <si>
    <t>Belanja Bahan Bakar Kendaraan Bermotor</t>
  </si>
  <si>
    <t>Belanja BBM untuk Perpustakaan Keliling</t>
  </si>
  <si>
    <t>2.1.07.5.2.6</t>
  </si>
  <si>
    <t>2.1.07.5.2.6.02</t>
  </si>
  <si>
    <t>Pemeliharaan Moci Perpustakaan Keliling</t>
  </si>
  <si>
    <t>Belanja Modal Peralatan Elektronik dan Alat Studio</t>
  </si>
  <si>
    <t>Terpenuhinya Failisat Membaca Desa</t>
  </si>
  <si>
    <t>: Bidang Pemberdayaan Masyarakat</t>
  </si>
  <si>
    <t>: Keadaan Mendesak</t>
  </si>
  <si>
    <t xml:space="preserve"> Penanggulangan Keadaan Mendesak Pemberian BLT</t>
  </si>
  <si>
    <t>Belanja Tak Terduga</t>
  </si>
  <si>
    <t>DD</t>
  </si>
  <si>
    <t>Peningkatan SD Negeri 4 Penatih</t>
  </si>
  <si>
    <t>250 Hari</t>
  </si>
  <si>
    <t>: Pertanian dan peternakan</t>
  </si>
  <si>
    <t>PENANGANAN INFLASI DESA MELALUI KETAHANAN PANGAN</t>
  </si>
  <si>
    <t>4.2.03.5.2</t>
  </si>
  <si>
    <t>4.2.03.5.2.1</t>
  </si>
  <si>
    <t>4.2.03.5.2.1.06</t>
  </si>
  <si>
    <t>4.2.03.5.2.1.08</t>
  </si>
  <si>
    <t>4.2.03.5.2.1.90</t>
  </si>
  <si>
    <t>4.2.03.5.2.2.04</t>
  </si>
  <si>
    <t>Honorarium Narasumber/ instruktur</t>
  </si>
  <si>
    <t>4.2.03.5.2.7</t>
  </si>
  <si>
    <t>Belanja Barang Perlengkapan diserahkan Kepada Masyarakat</t>
  </si>
  <si>
    <t>4.2.03.5.2.7.01</t>
  </si>
  <si>
    <t>zak</t>
  </si>
  <si>
    <t>ltr</t>
  </si>
  <si>
    <t>pcs</t>
  </si>
  <si>
    <t>: Penyuluhan dan Pelatihan Bidang Kesehatan(Sosialisasi Germas)</t>
  </si>
  <si>
    <t>Konsumsi ( 92 or x 1kali )</t>
  </si>
  <si>
    <t>Terselenggaranya Germas</t>
  </si>
  <si>
    <t>: Kegiatan Pengelolaan Sampah Tingkat Desa (Oprasional TPS3R)</t>
  </si>
  <si>
    <t>Oprasional TPS 3R</t>
  </si>
  <si>
    <t>2.4.07.5.2.1.01</t>
  </si>
  <si>
    <t>Belanja Perlengkapan Alat Tulis Kantor</t>
  </si>
  <si>
    <t xml:space="preserve">tahun </t>
  </si>
  <si>
    <t>2.4.07.5.2.1.03</t>
  </si>
  <si>
    <t>Belanja Perlengkapan Alat-alat Rumah Tangga/Peralatan dan Bahan Kebersihan</t>
  </si>
  <si>
    <t>Sabun Cuci Piring</t>
  </si>
  <si>
    <t>Sabun Cuci Porselin</t>
  </si>
  <si>
    <t>Lap Keset</t>
  </si>
  <si>
    <t>Ember Timba</t>
  </si>
  <si>
    <t>Gayung</t>
  </si>
  <si>
    <t>Sapu tangan</t>
  </si>
  <si>
    <t>Belanja Upakara, Upacara dan Aci aci</t>
  </si>
  <si>
    <t>Banten Lengkap Setiap Hari</t>
  </si>
  <si>
    <t>Garu</t>
  </si>
  <si>
    <t>Cetok</t>
  </si>
  <si>
    <t>Garu Kayu</t>
  </si>
  <si>
    <t>Sabit</t>
  </si>
  <si>
    <t>Sekop</t>
  </si>
  <si>
    <t>Terpal</t>
  </si>
  <si>
    <t>2.4.07.5.2.1.12</t>
  </si>
  <si>
    <t>Belanja Obat -obat Pertanian</t>
  </si>
  <si>
    <t>2.4.07.5.2.2.01</t>
  </si>
  <si>
    <t>Honor Tim Yang Melaksanakan Kegiatan</t>
  </si>
  <si>
    <t>Ketua KPP</t>
  </si>
  <si>
    <t>Sekretaris KPP</t>
  </si>
  <si>
    <t>Bendahara KPP</t>
  </si>
  <si>
    <t>Honor Petugas</t>
  </si>
  <si>
    <t>2.4.07.5.2.5.01</t>
  </si>
  <si>
    <t>Belanja Langganan Listrik</t>
  </si>
  <si>
    <t>Listrik</t>
  </si>
  <si>
    <t>2.4.07.5.2.5.02</t>
  </si>
  <si>
    <t>Belanja Langganan Air Bersih</t>
  </si>
  <si>
    <t>Belanja Air Minum Galon</t>
  </si>
  <si>
    <t>Belanja Pemeliharaan Mesin dan alat berat</t>
  </si>
  <si>
    <t>Pagu DD</t>
  </si>
  <si>
    <t>TAHUN ANGGARAN 2025</t>
  </si>
  <si>
    <t xml:space="preserve">Kertas F4 75 gram ex Paper One </t>
  </si>
  <si>
    <t>Ballpoint ex faster C600</t>
  </si>
  <si>
    <t>Buku Tulis Folio 100</t>
  </si>
  <si>
    <t>Penggaris besi</t>
  </si>
  <si>
    <t>Konsumsi Pelatihan (30or x 1kali)</t>
  </si>
  <si>
    <t>Narasumber (2or x 1kali )</t>
  </si>
  <si>
    <t>Block Note</t>
  </si>
  <si>
    <t>Ketua Tim Penyusun RKP Desa 2025</t>
  </si>
  <si>
    <t>Buku Tulis 58</t>
  </si>
  <si>
    <t>Belanja Lele Bumbu</t>
  </si>
  <si>
    <t xml:space="preserve">Konsumsi </t>
  </si>
  <si>
    <t>2.2.93.5.2.7</t>
  </si>
  <si>
    <t>Belanja barang Jasa yang diserahkan kepada masyarakat</t>
  </si>
  <si>
    <t>2.2.93.5.2.7,91</t>
  </si>
  <si>
    <t>Uang Saku Peserta</t>
  </si>
  <si>
    <t>orang</t>
  </si>
  <si>
    <t>Poto Copy</t>
  </si>
  <si>
    <t>2.2.03.2.2.05</t>
  </si>
  <si>
    <t>Orang</t>
  </si>
  <si>
    <t>Stik Gula Darah</t>
  </si>
  <si>
    <t>Alcohol Swab</t>
  </si>
  <si>
    <t>II.20</t>
  </si>
  <si>
    <t>Alat Steples Kexil Max HD 10</t>
  </si>
  <si>
    <t>Tipe Ex Correction T380</t>
  </si>
  <si>
    <t>2.2.93.5.2,2,05</t>
  </si>
  <si>
    <t>Honorarium Petugas</t>
  </si>
  <si>
    <t>Stik HB</t>
  </si>
  <si>
    <t xml:space="preserve">Blood Lancet </t>
  </si>
  <si>
    <t>2.2.03,5.2.1.07</t>
  </si>
  <si>
    <t xml:space="preserve"> :  Pengasuhan Bersama atau Bina Keluarga Balita (Pelaksanaan Kegiatan Bina Keluarga Balita BKB )</t>
  </si>
  <si>
    <t>Belanja pakaian/seragam</t>
  </si>
  <si>
    <t>Pengadaan Pakaian</t>
  </si>
  <si>
    <t>: Penyelenggaraan Posyandu Remaja</t>
  </si>
  <si>
    <t>2.2.06.5.2.1.09</t>
  </si>
  <si>
    <t>Belanja Pakaian Seagam</t>
  </si>
  <si>
    <t>:Penyuluhan dan Pelatihan Bidang Kesehatan Untuk Masyarakat (Penyelenggaraan Pembinaan dan Lomba PMT)</t>
  </si>
  <si>
    <t>Pembinaan Lomba</t>
  </si>
  <si>
    <t>Honor Pelatih (2 or )</t>
  </si>
  <si>
    <t>Kegiatan Lomba</t>
  </si>
  <si>
    <t>Honor Juri 3 or x 1 hari</t>
  </si>
  <si>
    <t>2.2.03.5.2.7</t>
  </si>
  <si>
    <t>2.2.03.5.2.7.90</t>
  </si>
  <si>
    <t>: Penyuluhan dan Pelatihan Bidang Kesehatan untuk Masyarakat (Penyuluhan kesehatan Organ Reproduksi dan Penyelenggaraan Papsmear)</t>
  </si>
  <si>
    <t>Kertas F4 70 gram / Sinar Dunia</t>
  </si>
  <si>
    <t>Konsumsi ( 40or x 1kali )</t>
  </si>
  <si>
    <t>Belanja Bahan Alat Meterial</t>
  </si>
  <si>
    <t xml:space="preserve">Belanja alat pemeriksaan </t>
  </si>
  <si>
    <t>: Penyuluhan dan Pelatihan Bidang Kesehatan untuk Masyarakat (Pembinaan Kampung Keluarga Berkualitas)</t>
  </si>
  <si>
    <t>: : Penyuluhan dan Pelatihan Bidang Kesehatan untuk Masyarakat (Pembuatan Video Promosi Posyandu)</t>
  </si>
  <si>
    <t>Belanja Video Promosi</t>
  </si>
  <si>
    <t>: Penyuluhan dan Pelatihan Bidang Kesehatan untuk Masyarakat  (Pembinaan Rumah Dataku)</t>
  </si>
  <si>
    <t>Konsumsi Pelatihan (10or x 1kali)</t>
  </si>
  <si>
    <t>Tunjangan Purnabakti</t>
  </si>
  <si>
    <t>o th</t>
  </si>
  <si>
    <t xml:space="preserve">Isi Staples </t>
  </si>
  <si>
    <t>Batre Besar ex alkalin</t>
  </si>
  <si>
    <t>Sapu Bulu Ayam</t>
  </si>
  <si>
    <t>lap Tangan Gantung</t>
  </si>
  <si>
    <t>Keset bubut tebal besar halus</t>
  </si>
  <si>
    <t xml:space="preserve">Plastik Sampah </t>
  </si>
  <si>
    <t>Sabun Pembersih Kaca spary</t>
  </si>
  <si>
    <t>buku</t>
  </si>
  <si>
    <t>Dupa Besar (1bh x 12bln)</t>
  </si>
  <si>
    <t>Alat Pel komplit</t>
  </si>
  <si>
    <t>Isi Kotak P3K</t>
  </si>
  <si>
    <t>Set Bendera Dalam Ruangan</t>
  </si>
  <si>
    <t>1.1.93.5.1.3</t>
  </si>
  <si>
    <t>1.1.93.5.1.3.01</t>
  </si>
  <si>
    <t>Jaminan Kesehatan Staf BPD (1or x12BLN)</t>
  </si>
  <si>
    <t>Jaminan Ketenagakerjaan Staf</t>
  </si>
  <si>
    <t>Jaminan KetenagaKerjaan Staf IT (1or x 12 Bln)</t>
  </si>
  <si>
    <t>Jaminan Ketenagakerjaan Satf Siskeudes (1or x 12Bln)</t>
  </si>
  <si>
    <t>Jaminan Ketenagakerjaan Staf BPD (1or x12BLN)</t>
  </si>
  <si>
    <t>Jaminan Ketenagakerjaan KPM (1or x12BLN)</t>
  </si>
  <si>
    <t>Jaminan Ketenagakerjaan Cleaning Service (2or x12BLN)</t>
  </si>
  <si>
    <t>BHPD</t>
  </si>
  <si>
    <t>1.1.04.5.2.5.99</t>
  </si>
  <si>
    <t>Belanja Operasional Perkantoran lainnya</t>
  </si>
  <si>
    <t>Biaya Administrasi Bank</t>
  </si>
  <si>
    <t xml:space="preserve"> Januari - Desember 2025</t>
  </si>
  <si>
    <t>Laptop Core i5</t>
  </si>
  <si>
    <t>Rak Kaur Kesra</t>
  </si>
  <si>
    <t>Konsumsi (25or x 8 Dusun x 2 kali)</t>
  </si>
  <si>
    <t>uang saku peserta (100 or x 2kali)</t>
  </si>
  <si>
    <t>: Januari - Desember 2025</t>
  </si>
  <si>
    <t>Penyusunan Dokumen Perencanaan Desa (RKP Desa 2026)</t>
  </si>
  <si>
    <t>Penyusunan Dokumen Perencanaan Desa (RPJM Perubahan)</t>
  </si>
  <si>
    <t xml:space="preserve">Cetak RPJMDesa </t>
  </si>
  <si>
    <t>Cetak Spaduk Musdus</t>
  </si>
  <si>
    <t>Ketua1 or x 3bl</t>
  </si>
  <si>
    <t>Sekretaris 1or x 3bl</t>
  </si>
  <si>
    <t>Anggota 9 or x 3bl</t>
  </si>
  <si>
    <t>: Penyusunan dokumen keuangan Desa ( LPJ APBDesa 2024)</t>
  </si>
  <si>
    <t xml:space="preserve">Banten Gebogan </t>
  </si>
  <si>
    <t>Banten Caru kesanga</t>
  </si>
  <si>
    <t>Banten Caru keenem</t>
  </si>
  <si>
    <t xml:space="preserve">  : Penyelenggaraan Festival Kesenian, Adat / Kebudayaan, dan Keagamaan (Pembinaan dan Lomba Nyurat Aksara Bali Anak SD, Ngwacen Lontar Anak Remaja SMA/SMK, Nyatua Bali Krama Istri Dalam Rangka Penyelenggaraan Bulan Bahasa Bali )</t>
  </si>
  <si>
    <t>Kertas Double Folio</t>
  </si>
  <si>
    <t>Bks</t>
  </si>
  <si>
    <t>Kancing Jarum</t>
  </si>
  <si>
    <t>Konsumsi ( 36 Peserta + 1 Kades + 1 Kasi + 5 TPK + 6 Narasumbe X 5 kali )</t>
  </si>
  <si>
    <t>Konsumsi Technical Meeting</t>
  </si>
  <si>
    <t>Konsumsi ( Peserta 36 + Kades 1 + Sekdes 1 + Kasi 1 + TPK 5 + Juri 3 )</t>
  </si>
  <si>
    <t>Konsumsi Lomba</t>
  </si>
  <si>
    <t>Konsumsi ( Peserta 36 + Juri 9 + Babinsa 2 + TPK 5  + Perangkat 28 + BPD 9 + 1 Tamu + Linmas 2)</t>
  </si>
  <si>
    <t>Tnd</t>
  </si>
  <si>
    <t>Konsumsi Rapat LPM 17 + BPD 1 + Kadus 8 +Perbekel 1 + Sekdes 1 + Kasi 2</t>
  </si>
  <si>
    <t>Konsumsi Kegiatan LPM 17 + BPD 9 + PKK 5 + Karang Taruna 5 + Babinsa 2 + Perangkat Desa 28 X 5 Kl</t>
  </si>
  <si>
    <t>Belanja Sembako Untuk Data Fakir Miskin</t>
  </si>
  <si>
    <t>Konsumsi Rapat ( 30 or x 1 kl )</t>
  </si>
  <si>
    <t>Konsumsi Kegiatan ( 100 or x 1 kali x 13 banjar )</t>
  </si>
  <si>
    <t>Peliputan Media Cetak</t>
  </si>
  <si>
    <t>Konsumsi Penilaian PSN ( 13 or Jumantik  + 4 Tim Juri + 4 Kadus  X 3 kali )</t>
  </si>
  <si>
    <t>Jasa Juri (4 or x 3 kali )</t>
  </si>
  <si>
    <t>: Pembinaan atau Pelatihan Kelompok Belajar Widya Kumara Bhuwana ( Pelatihan Bahasa dan Aksara Bali Untuk Anak-Anak SD )</t>
  </si>
  <si>
    <t>Pengerot</t>
  </si>
  <si>
    <t>Nh</t>
  </si>
  <si>
    <t>Lmb</t>
  </si>
  <si>
    <t>Oh</t>
  </si>
  <si>
    <t>3.3.06.5.2.4</t>
  </si>
  <si>
    <t>3.3.06.5.2.4.03</t>
  </si>
  <si>
    <t>Sewa Tranportasi/Outbone</t>
  </si>
  <si>
    <t>OR</t>
  </si>
  <si>
    <t>: Pembinaan PKK  ( Pembinaan Administrasi dan Pokja PKK Desa  )</t>
  </si>
  <si>
    <t>Konsumsi Pelatihan ( 40 or x 1 kl )</t>
  </si>
  <si>
    <t>Belanja Jasa Honorarium Ahli/ Profesi/Konsultan/ Narasumber</t>
  </si>
  <si>
    <t>Narasumber ( 2or x 1 kl )</t>
  </si>
  <si>
    <t>3.4.03.5.2.4</t>
  </si>
  <si>
    <t>3.4.03.5.2.4.03</t>
  </si>
  <si>
    <t>3.3.06.5.2.1.09</t>
  </si>
  <si>
    <t>Belanja Seragam</t>
  </si>
  <si>
    <t>Baju Seragam</t>
  </si>
  <si>
    <t xml:space="preserve">: Penyelenggaraan Pelatihan Kepemudaan  ( Pelatihan dan Lomba Menggambar Karakter Bung Karno Tingkat SMP, Menyanyikan Lagu Wajib Kebangsaan Tingkat SD, Membaca Undang-undang Dasar 45 Tingkat SD Dalam Rangka Bulan Bung Karno Tahun 2025 ) </t>
  </si>
  <si>
    <t>Konsumsi Pelatihan ( Peserta 24 or + Pelatih 3 or + TPK 5 or + Perangkat Desa 4 or  X 5 Kl )</t>
  </si>
  <si>
    <t>Konsumsi Technical meeting ( Peserta 24 + TPK 5 or + Perangkat Desa 4 or + BPD 1 or  + Perwakilan Juri 3 )</t>
  </si>
  <si>
    <t>Konsumsi Lomba ( BPD 9 or + Perangkat Desa 26 or + TPK 5 or + Peserta 24 or + Juri 9 or + LPM 1 or + PKK 1 + Bhabinsa 2 or + Linmas 2 or )</t>
  </si>
  <si>
    <t>Buku Gambar</t>
  </si>
  <si>
    <t>Honor Pelatih ( 3 Or X 5 Kl )</t>
  </si>
  <si>
    <t>Honor Juri ( 9 Or X 1 Kl )</t>
  </si>
  <si>
    <t xml:space="preserve">Honor MC </t>
  </si>
  <si>
    <t>Pengiriman Peserta Lomba Menggambar Karakter Bung Karno Tingkat SMP 2 Orang, Lomba Menyanyikan Lagu Wajib Kebangsaan Tingkat SD 2 Orang, Lomba Membaca Pembukaan Undang-undang Dasar 45 Tingkat SD 2 Orang di Tingkat Kecamatan</t>
  </si>
  <si>
    <t>Konsumsi Pelatihan (  20 or x 5 Kl )</t>
  </si>
  <si>
    <t>Konsumsi Kegiatan lombs ( 20 or x 1 Kl )</t>
  </si>
  <si>
    <t>Honor Pelatih ( 3 Or X 5Kl )</t>
  </si>
  <si>
    <t>Uang Saku Peserta Lomba ( 6 or x 1 Kl )</t>
  </si>
  <si>
    <t>: Lomba Yel-Yel Bung Karno Tingkat Guru Paud, Lomba Kuis Siapa Bisa Tingkat PKK dan Lomba Cerdas Cermat Tingkat SMP di Tingkat Kecamatan</t>
  </si>
  <si>
    <t>Konsumsi Pelatihan (  15 or x 20 Kl )</t>
  </si>
  <si>
    <t>Konsumsi Lomba ( 25or x 2 Kl )</t>
  </si>
  <si>
    <t>Kostum Peserta ( 11 Or )</t>
  </si>
  <si>
    <t>Berias Peserta ( 11 Or )</t>
  </si>
  <si>
    <t>Honor Pelatih  ( 1 Or X 20Kl )</t>
  </si>
  <si>
    <t>Uang Saku  Peserta Pelatihan  ( 11 or x 20 Kl )</t>
  </si>
  <si>
    <t>Uang Saku Peserta Lomba ( 11 or x 2 Kl )</t>
  </si>
  <si>
    <t>Pengiriman 1 Kelompok  Peserta Lomba Kuis Siapa Bisa Tingkat PKK ( 1 Kelompok 4 Orang )</t>
  </si>
  <si>
    <t>Konsumsi Pelatihan (  12 or x 20 Kl )</t>
  </si>
  <si>
    <t>Konsumsi Lomba ( 12 or x 1 Kl )</t>
  </si>
  <si>
    <t>Honor Pelatih  ( 1 Or X 20 Kl )</t>
  </si>
  <si>
    <t>Uang Saku Peserta Lomba  ( 11 or x 1 Kl )</t>
  </si>
  <si>
    <t>Pengiriman 1 Kelompok Peserta Lomba Cerdas Cermat Tingkat SMP ( 1 Kelompok 4 Orang )</t>
  </si>
  <si>
    <t>Konsumsi Pelatihan (  10 or x 20 Kl )</t>
  </si>
  <si>
    <t>Konsumsi Lomba ( 10 or x 1 Kl )</t>
  </si>
  <si>
    <t>Uang Saku  Peserta Pelatihan  ( 4 or x 20Kl )</t>
  </si>
  <si>
    <t>Uang Saku Peserta Lomba  ( 4 or x 1 Kl )</t>
  </si>
  <si>
    <t>: Penyuluhan dan Pelatihan Bidang Kesehatan ( Penyuluhan KB )</t>
  </si>
  <si>
    <t>MENJADI</t>
  </si>
  <si>
    <t>Konsumsi Kegiatan ( 100 or X 1 Kl )</t>
  </si>
  <si>
    <t>Honor Narasumber ( 2 Or x 1 Kl )</t>
  </si>
  <si>
    <t xml:space="preserve">Honor MC + Riasan </t>
  </si>
  <si>
    <t>Sewa Sound sistem</t>
  </si>
  <si>
    <t>Kl</t>
  </si>
  <si>
    <t xml:space="preserve">Sewa Dekorasi </t>
  </si>
  <si>
    <t>Sewa Tempat dan Kebersihan</t>
  </si>
  <si>
    <t>Sewa Bondres dan Gambelan</t>
  </si>
  <si>
    <t>Paket Nganyarin</t>
  </si>
  <si>
    <t>: Pembinaan Adat dan Keagamaan (Tumpek Landep)</t>
  </si>
  <si>
    <t>Belanja Konsumsi 80or x 2 kali</t>
  </si>
  <si>
    <t>Banten Rainan Tumpek Landep</t>
  </si>
  <si>
    <t>3.2.90.5.2.4</t>
  </si>
  <si>
    <t>3.2.90.5.2.4.02</t>
  </si>
  <si>
    <t>Sewa Tenda</t>
  </si>
  <si>
    <t>Meja</t>
  </si>
  <si>
    <t>Konsumsi ( 8 Or x 15 kl)</t>
  </si>
  <si>
    <t>Pertamax</t>
  </si>
  <si>
    <t>Dexlite</t>
  </si>
  <si>
    <t>BH</t>
  </si>
  <si>
    <t xml:space="preserve">Jerigen </t>
  </si>
  <si>
    <t>Petugas Foging ( 2 or x 15 Kl)</t>
  </si>
  <si>
    <t xml:space="preserve">: Pembinaan Kelompok P2WKSS  </t>
  </si>
  <si>
    <t>4.4.01.5.2</t>
  </si>
  <si>
    <t>4,4,01.5.2.1.06</t>
  </si>
  <si>
    <t>Konsumsi Pembinaan ( 40 or x 1 Kl )</t>
  </si>
  <si>
    <t>Bkk Prov.</t>
  </si>
  <si>
    <t>Buku Tulis 32</t>
  </si>
  <si>
    <t>Gunting Besar</t>
  </si>
  <si>
    <t>:  Pemberdayaan Perempuan, Perlindungan Anak dan Keluarga</t>
  </si>
  <si>
    <t>: Pelatihan/Penyuluhan Perlindungan Anak (Pembinaan Forum Anak Desa)</t>
  </si>
  <si>
    <t>4.4.02.5.2</t>
  </si>
  <si>
    <t>4.4.02.5.2.1</t>
  </si>
  <si>
    <t>Belanja Alat Tulis</t>
  </si>
  <si>
    <t>4.4.02.5.2.1.06</t>
  </si>
  <si>
    <t>Konsumsi Pelatihan ( 15 or x 1 Kali)</t>
  </si>
  <si>
    <t>4.4.02.5.2.1.08</t>
  </si>
  <si>
    <t>4.4.02.5.2.1.09</t>
  </si>
  <si>
    <t>Belanja Pakaian Seragam</t>
  </si>
  <si>
    <t>4.4.02.5.2.1.90</t>
  </si>
  <si>
    <t>4.4.02.5.2.2</t>
  </si>
  <si>
    <t>4.4.02.5.2.2.04</t>
  </si>
  <si>
    <t>Belanja Jasa Honorarium Ahli/ Profesi/ Narasumber</t>
  </si>
  <si>
    <t>Narasumber  ( 2 or x 1 kali )</t>
  </si>
  <si>
    <t>4.3.06.5.2.4</t>
  </si>
  <si>
    <t>4.3.06.5.2.4.03</t>
  </si>
  <si>
    <t>Outbone ( Forum Anak 9 + Desa 4 + PKK 3 + LPM 3 + KATAR 3 + Forum Anak Kecamatan 2 + BPD 3 + Jero Bendesa 3 )</t>
  </si>
  <si>
    <t>: Pemeiliharaan Fasilitas Pengelolaan Sampah Desa/ Pemukiman (Operasional Kegiatan Bank Sampah Desa)</t>
  </si>
  <si>
    <t>Kartu ID Untuk Pelanggan</t>
  </si>
  <si>
    <t>Cetak Buku Keuangan</t>
  </si>
  <si>
    <t>Plastik Sampah Hitam uk 90x100(Plastik Sampah Jumat Bersih)</t>
  </si>
  <si>
    <t>Serok Sampah Luar Luangan</t>
  </si>
  <si>
    <t>Sabun Cuci Tangan Cair</t>
  </si>
  <si>
    <t>Cairan Hand Sanitizer</t>
  </si>
  <si>
    <t>2.4.07.5.2.1.09</t>
  </si>
  <si>
    <t>Belanja Paikaian Seragam</t>
  </si>
  <si>
    <t>Baju Kaos Polo</t>
  </si>
  <si>
    <t>Celana Training</t>
  </si>
  <si>
    <t>Sepatu Boot</t>
  </si>
  <si>
    <t>Upah Petugas Pemilah Sampah 10 orang x 2 kali x 12 bln</t>
  </si>
  <si>
    <t>Belanja Premium  Mesin Potong Rumput</t>
  </si>
  <si>
    <t>Serok Sampah/ Cikrak</t>
  </si>
  <si>
    <t>Belanja Atribut Pakaian</t>
  </si>
  <si>
    <t>Baju Kaos Lapangan Lengan Panjang</t>
  </si>
  <si>
    <t>Upah Petugas Kebersihan Lingkungan (2 or x 3 bln)</t>
  </si>
  <si>
    <t>Upah Petugas Kebersihan Lingkungan (2 or x 9 bln)</t>
  </si>
  <si>
    <t>Upah Petugas Jumali (1 or x 3 bln)</t>
  </si>
  <si>
    <t>Upah Petugas Jumali (1 or x 9 bln)</t>
  </si>
  <si>
    <t>Honor Tenaga Pembantu Jumali   (16 or x 17 kali)</t>
  </si>
  <si>
    <t xml:space="preserve">Pelumas Untuk Mesin Potong Rumput </t>
  </si>
  <si>
    <t>Spare Part Mesin Potong Rumput</t>
  </si>
  <si>
    <t>Perawatan (Service) Mesin Potong Rumput</t>
  </si>
  <si>
    <t>Belanja Bahan Bakar Minyak/ Gas/ Isi Ulang Tabung Pemadam Kebakaran</t>
  </si>
  <si>
    <t>Solar Truk (2 unit x 9 bulan)</t>
  </si>
  <si>
    <t>Solar Truk (2 unit x 3 bulan)</t>
  </si>
  <si>
    <t>Premium Moci</t>
  </si>
  <si>
    <t>Fotocopy</t>
  </si>
  <si>
    <t>Uang Retribusi Truk Sampah Di Suwung (2 unit)</t>
  </si>
  <si>
    <t>Biaya Pembuangan Sampah Ke TPA</t>
  </si>
  <si>
    <t>Kuota Internet</t>
  </si>
  <si>
    <t>Baju kaos Lapangan Lengan Panjang</t>
  </si>
  <si>
    <t>Jaring/ Terpal Sampah</t>
  </si>
  <si>
    <t>Purname, Tilem (Pejati + Sodan)</t>
  </si>
  <si>
    <t>Banten Pagerwesi</t>
  </si>
  <si>
    <t>Banten Sugian</t>
  </si>
  <si>
    <t xml:space="preserve">Banten Galungan </t>
  </si>
  <si>
    <t>Banten Kuningan</t>
  </si>
  <si>
    <t>Banten Caru Dan Banten Pengulapan</t>
  </si>
  <si>
    <t>Upah  Sopir Pengangkut Sampah 2 orang x 3 bln</t>
  </si>
  <si>
    <t>Upah Sopir Pengangkut Sampah 2 orang x 9 bln</t>
  </si>
  <si>
    <t>Upah  Tenaga Pengangkut Sampah  6 orang x 3 bln</t>
  </si>
  <si>
    <t>Upah  Tenaga Pengangkut Sampah 6 orang x 9 bln</t>
  </si>
  <si>
    <t>Upah Tenaga Pungut Iuran 2 orang x 3 bln</t>
  </si>
  <si>
    <t>Upah Tenaga Pungut Iuran 2 orang x 9 bln</t>
  </si>
  <si>
    <t>Belanja Operasional Pekantoran</t>
  </si>
  <si>
    <t>Samsat Truk (2 Truk)</t>
  </si>
  <si>
    <t>Kir Truk (2 Truk )</t>
  </si>
  <si>
    <t>Spare Part L300</t>
  </si>
  <si>
    <t>Isi Tabung Gas 3 kg</t>
  </si>
  <si>
    <t>BBM Kendaraan (3 unit)</t>
  </si>
  <si>
    <t>Kampil Pupuk 25 kg</t>
  </si>
  <si>
    <t>Emmtan 1 ltr</t>
  </si>
  <si>
    <t>Petugas Pemilah Sampah 4 or x 12 bln</t>
  </si>
  <si>
    <t>galon</t>
  </si>
  <si>
    <t>Pemeliharaan Mesin Pencacah Sampah</t>
  </si>
  <si>
    <t>Pemeliharaan Mesin Gibrik</t>
  </si>
  <si>
    <t>3.1.04.5.2.1.09</t>
  </si>
  <si>
    <t>Honor Narasumber ( 2 Or x 1kali)</t>
  </si>
  <si>
    <t>Steples alat HD No 10</t>
  </si>
  <si>
    <t>Tinta stampel ex Yamura B</t>
  </si>
  <si>
    <t>Clip Seagul no 5</t>
  </si>
  <si>
    <t>Kertas Coklat / Kraft Minyak</t>
  </si>
  <si>
    <t>Penggaris Besai</t>
  </si>
  <si>
    <t>Box File teka</t>
  </si>
  <si>
    <t>Amplop coklat Besar</t>
  </si>
  <si>
    <t>Dus</t>
  </si>
  <si>
    <t>Buku Gamar a3 ex sidu</t>
  </si>
  <si>
    <t>Krayon ex titi/ joyko 12 warna</t>
  </si>
  <si>
    <t>Pensil 2b</t>
  </si>
  <si>
    <t>Penghaspus ex fabercatel K D 40</t>
  </si>
  <si>
    <t>Lem kertas ex glue kol kecil</t>
  </si>
  <si>
    <t>Gunting Best LL</t>
  </si>
  <si>
    <t>Kertas Lipat UK 20 x20 Origami</t>
  </si>
  <si>
    <t>Pensil Warna ex Fabercatel Clasic 12</t>
  </si>
  <si>
    <t>Kuas Kecil Halus</t>
  </si>
  <si>
    <t>Kertas Manila Bandung Warna</t>
  </si>
  <si>
    <t>BantenTilem Kesanga</t>
  </si>
  <si>
    <t>Tumpek Landep</t>
  </si>
  <si>
    <t>Penjor</t>
  </si>
  <si>
    <t>2.1.01.5.2.6</t>
  </si>
  <si>
    <t>2.1.01.5.2.6.03</t>
  </si>
  <si>
    <t>Pemeliharaan Peralatan</t>
  </si>
  <si>
    <t>Tambah Daya Listrik 4400</t>
  </si>
  <si>
    <t>2.1.01.5.2.6.04</t>
  </si>
  <si>
    <t>Pemeliharaan Bangunan</t>
  </si>
  <si>
    <t>perawatan kamarmandi</t>
  </si>
  <si>
    <t xml:space="preserve">2.1.01.5.3 </t>
  </si>
  <si>
    <t>2.1.01.5.3.2</t>
  </si>
  <si>
    <t>Belanja Modal Peralatan</t>
  </si>
  <si>
    <t>2.1.01.5.3.2,02</t>
  </si>
  <si>
    <t>Kipas angin dinding</t>
  </si>
  <si>
    <t>2.1.01.5.3.2,04</t>
  </si>
  <si>
    <t>Belanja Modal Peralatan Mebeulair dan Aksesori Ruangan</t>
  </si>
  <si>
    <t>Meja Belajar anak plastik</t>
  </si>
  <si>
    <t>Kursi</t>
  </si>
  <si>
    <t>poster gambar</t>
  </si>
  <si>
    <t>puzzle Alfabet Tebal</t>
  </si>
  <si>
    <t>karpet Roll loop Atrium</t>
  </si>
  <si>
    <t>boneka tangan keluarga</t>
  </si>
  <si>
    <t>lego isi 236</t>
  </si>
  <si>
    <t>Balok susun bangun</t>
  </si>
  <si>
    <t>Penyuluhan dan Pelatihan Pendidikan bagi Masyarakat (Pembinaan dan Lomba Mewarnai Anak - Anak TK)</t>
  </si>
  <si>
    <t>Cetak Lembar Mewarnai</t>
  </si>
  <si>
    <t>Konsumsi Pembinaan 30 or x 3KL</t>
  </si>
  <si>
    <t>Spanduk Pembinaan</t>
  </si>
  <si>
    <t>Sepanduk Kegiatan</t>
  </si>
  <si>
    <t>2.1.03.5.2.1.90</t>
  </si>
  <si>
    <t>Pejati Acara</t>
  </si>
  <si>
    <t>Belanja Honorarium Tim Yang Melaksanakan Kegiatan</t>
  </si>
  <si>
    <t>Wakil</t>
  </si>
  <si>
    <t>2.1.03.5.2.2.04</t>
  </si>
  <si>
    <t>Honor Pembina 2or x 3 KL</t>
  </si>
  <si>
    <t>OK</t>
  </si>
  <si>
    <t>Honor Juri (3or x 1Kl)</t>
  </si>
  <si>
    <t>: Pemerdayaan Masyaraka Desa</t>
  </si>
  <si>
    <t>: Pemberdayaan Perempuan</t>
  </si>
  <si>
    <t xml:space="preserve">: Pelatihan Pemberdayaan Perempuan ( Pelatihan Membuat Kroket Kentang dan Sushi untuk PKK Desa ) </t>
  </si>
  <si>
    <t>4.4.01.5.2.1.06</t>
  </si>
  <si>
    <t>Konsumsi ( 40 or x 1kali )</t>
  </si>
  <si>
    <t>Belanja Umbul-umbul/ Spanduk</t>
  </si>
  <si>
    <t>4.4.01.5.2.1.90</t>
  </si>
  <si>
    <t>Belanja upakara aci</t>
  </si>
  <si>
    <t>4.4.01.5.2.2.01</t>
  </si>
  <si>
    <t>Honor Narasumber 2 or x 1 Kl</t>
  </si>
  <si>
    <t>4.4.01.5.2.7</t>
  </si>
  <si>
    <t>Belanja Barang dan Jasa yang diserahkan Kepada Masyarakat</t>
  </si>
  <si>
    <t>4.4.01.5.2.7.01</t>
  </si>
  <si>
    <t xml:space="preserve">Belanja Bahan Perlengkapan </t>
  </si>
  <si>
    <t>Alat - alat</t>
  </si>
  <si>
    <t>Coper Daging</t>
  </si>
  <si>
    <t>Pisau Dapur Besar</t>
  </si>
  <si>
    <t xml:space="preserve">Dandang </t>
  </si>
  <si>
    <t>Waskom Stenlis</t>
  </si>
  <si>
    <t>Nampan Sedang</t>
  </si>
  <si>
    <t>Mangkok Sedang</t>
  </si>
  <si>
    <t>Mangkok Kecil</t>
  </si>
  <si>
    <t>Teflon 28cm</t>
  </si>
  <si>
    <t>Bahan Kroket Kentang</t>
  </si>
  <si>
    <t>Kentang</t>
  </si>
  <si>
    <t>Daging Ayam</t>
  </si>
  <si>
    <t>Wortel</t>
  </si>
  <si>
    <t>Daun Bawang</t>
  </si>
  <si>
    <t>Ikat</t>
  </si>
  <si>
    <t>Butir</t>
  </si>
  <si>
    <t>Mentega</t>
  </si>
  <si>
    <t>Susu Bubuk ex Dancow</t>
  </si>
  <si>
    <t>Merica Bubuk</t>
  </si>
  <si>
    <t>Kaldu Ayam Bubuk</t>
  </si>
  <si>
    <t>Mayonise</t>
  </si>
  <si>
    <t>Sambal Saos Pedas</t>
  </si>
  <si>
    <t>Tepung Panir</t>
  </si>
  <si>
    <t>Bahan Sushi</t>
  </si>
  <si>
    <t>Beras</t>
  </si>
  <si>
    <t>Beras Ketan</t>
  </si>
  <si>
    <t>Sosis</t>
  </si>
  <si>
    <t>Nori</t>
  </si>
  <si>
    <t>Mentimun</t>
  </si>
  <si>
    <t xml:space="preserve">: Pelatihan/ Penyuluhan Pemberdayaan Perempuan        ( Pelatihan Membuat Banten Tumpeng Solas dan Banten Caru untuk PKK Desa ) </t>
  </si>
  <si>
    <t>Bahan- Bahan</t>
  </si>
  <si>
    <t>Ental Merah</t>
  </si>
  <si>
    <t>Janur</t>
  </si>
  <si>
    <t>Gabung</t>
  </si>
  <si>
    <t>Slepan</t>
  </si>
  <si>
    <t>Daksina</t>
  </si>
  <si>
    <t>Telur Bebek</t>
  </si>
  <si>
    <t>Telur Ayam</t>
  </si>
  <si>
    <t>Gegantusan</t>
  </si>
  <si>
    <t>Tape</t>
  </si>
  <si>
    <t>Bantal</t>
  </si>
  <si>
    <t>Bungkak Gading</t>
  </si>
  <si>
    <t>Bungkak Gadang</t>
  </si>
  <si>
    <t>Pepesel</t>
  </si>
  <si>
    <t>Alet</t>
  </si>
  <si>
    <t>Kulit Sayut</t>
  </si>
  <si>
    <t>Suci</t>
  </si>
  <si>
    <t>Pisang</t>
  </si>
  <si>
    <t>Biji</t>
  </si>
  <si>
    <t>Buah Campur</t>
  </si>
  <si>
    <t>Apem</t>
  </si>
  <si>
    <t>Jaja Uli</t>
  </si>
  <si>
    <t>Beti</t>
  </si>
  <si>
    <t>Klakat</t>
  </si>
  <si>
    <t>Sanggah Caru</t>
  </si>
  <si>
    <t>Dulang</t>
  </si>
  <si>
    <t>Tega</t>
  </si>
  <si>
    <t>1,2,3,10</t>
  </si>
  <si>
    <t>12 bulan</t>
  </si>
  <si>
    <t>Terselenggaranya Rapat FKAKD</t>
  </si>
  <si>
    <t>4 kali</t>
  </si>
  <si>
    <t>14 orang terpenuhinya pagu maksimal</t>
  </si>
  <si>
    <t>14 orang</t>
  </si>
  <si>
    <t>14 Orang</t>
  </si>
  <si>
    <t>211 Orang</t>
  </si>
  <si>
    <t>211 orang terpenuhinya pagu maksimal</t>
  </si>
  <si>
    <t>10, 16</t>
  </si>
  <si>
    <t>Terlaksananya Penyesuaiyan RPJM Desa</t>
  </si>
  <si>
    <t>: Penyusunan dokumen keuangan Desa (APBDesa 2026 )</t>
  </si>
  <si>
    <t>/</t>
  </si>
  <si>
    <t>Terselenggaranya kegiatan pembanaan dan lomba mewarnai Anak Anak</t>
  </si>
  <si>
    <t>70or</t>
  </si>
  <si>
    <t>Terlaksananya Pembinaan Kampung Keluarga Berkualitas</t>
  </si>
  <si>
    <t>Terlaksananya penyelenggaraan Lomba PMT</t>
  </si>
  <si>
    <t>Terlasananya penyuluhan kesehatan organ reproduksi</t>
  </si>
  <si>
    <t>Terlaksananya Pembinaan Rumah Dataku</t>
  </si>
  <si>
    <t>10 orang</t>
  </si>
  <si>
    <t>Terlaksanaya kegiatan Sosialisasi dan promosi posyandu</t>
  </si>
  <si>
    <t>TAHUN 2025</t>
  </si>
  <si>
    <t>Target Capaian Tahun 2025</t>
  </si>
  <si>
    <t>Terlaksananya kegiatan pembinaan BKR</t>
  </si>
  <si>
    <t>Terlaksananya kegiatan foging fokus</t>
  </si>
  <si>
    <t>Terkasanya Peningkatan Kesehatan lingkungan</t>
  </si>
  <si>
    <t>7464 orang</t>
  </si>
  <si>
    <t>Terlaksananya 11 Orang tenaga kebersihan lingkungan desa</t>
  </si>
  <si>
    <t>Terlaksananya Oprasilan TPS3R</t>
  </si>
  <si>
    <t>Terlasananya Kegiatan 10 orang pengolahan sampah desa</t>
  </si>
  <si>
    <t>Terlasananya Kegiatan 2 orang kebersihan lingkungan</t>
  </si>
  <si>
    <t>Pembangunan Fasilitas Pengelolaan Sampah (Jalan TRPS3R)</t>
  </si>
  <si>
    <t>2.4.15.5.3</t>
  </si>
  <si>
    <t>2.4.15.5.3.4</t>
  </si>
  <si>
    <t>2.4.15.5.3.4.01</t>
  </si>
  <si>
    <t>2.4.15.5.3.4.03</t>
  </si>
  <si>
    <t>Pembangunan Jalan</t>
  </si>
  <si>
    <t>Terlekapinya Fasilitas TPS3R</t>
  </si>
  <si>
    <t>Terlaksananya kegiatan Trasparansi untuk publik</t>
  </si>
  <si>
    <t>Terlaksananya Bulan Bahasa Bali</t>
  </si>
  <si>
    <t>: Pertanian dan Peternakan</t>
  </si>
  <si>
    <t xml:space="preserve">: (Ketahanan Pangan) Pelatihan Budidaya Maggot Black Soldier Fly (BSF) </t>
  </si>
  <si>
    <t>Konsumsi Pelatihan (10 or x 2 kali)</t>
  </si>
  <si>
    <t>Honor Narasumber/ Instruktur (2 or x 2 kali )</t>
  </si>
  <si>
    <t>Kandang Lalat/ BSF (Px2m, Lx1m, Tx2m</t>
  </si>
  <si>
    <t>Papan Tempat Telur</t>
  </si>
  <si>
    <t>Tempat Migrasi (Ember Box Plastik uk Px1m, Lx32cm, Tx20cm</t>
  </si>
  <si>
    <t xml:space="preserve">Rak </t>
  </si>
  <si>
    <t>Tempat Pembesaran Maggot BSF</t>
  </si>
  <si>
    <t>Baskom</t>
  </si>
  <si>
    <t>Mesin Selip Daging</t>
  </si>
  <si>
    <t>Ember Tempat Pakan</t>
  </si>
  <si>
    <t>Bibit Maggot BSF</t>
  </si>
  <si>
    <t>gram</t>
  </si>
  <si>
    <t xml:space="preserve">Slop Tangan </t>
  </si>
  <si>
    <t>Konsumsi Pelatihan  (2 or x 13 bjr x 1 kali)</t>
  </si>
  <si>
    <t>Honorarium Narasumber/ Instruktur</t>
  </si>
  <si>
    <t>Bibit Bunga Gumitir</t>
  </si>
  <si>
    <t>Pupuk Urea (10 kg x 13 bjr)</t>
  </si>
  <si>
    <t>Tanah Subur/ Media Tanam (10 zak x 13 bjr)</t>
  </si>
  <si>
    <t>NPK 16-16-16, (5 kg x 13 bjr)</t>
  </si>
  <si>
    <t>Polibag 25 x 25</t>
  </si>
  <si>
    <t>Pupuk Organik Cair (5 ltr x 13 bjr)</t>
  </si>
  <si>
    <t>Antracol (3 pcs x 13 bjr)</t>
  </si>
  <si>
    <t>Insektisida Kaliandra 482EC 80 ml (3 pcs x 13 bjr)</t>
  </si>
  <si>
    <t>: TEBA MODERN</t>
  </si>
  <si>
    <t>Konsumsi Pelatihan  (5 or x 3 ds.adat x 2 kali)</t>
  </si>
  <si>
    <t>Honor Narasumber (2 or x 2 kl)</t>
  </si>
  <si>
    <t xml:space="preserve">Tebe Modern </t>
  </si>
  <si>
    <t>Belanja Sewa</t>
  </si>
  <si>
    <t>Belanja Jasa Sewa Mobilitas</t>
  </si>
  <si>
    <t>2.2.03.5.2.4.03</t>
  </si>
  <si>
    <t>: Pembangunan Jalan Usaha Tani (Subak Temaga Munduk Pengiu PONDASI Batu Kali)</t>
  </si>
  <si>
    <t>Perbaikan Pondasi Batu Kali 117.73m3</t>
  </si>
  <si>
    <t>2.3.12.5.3</t>
  </si>
  <si>
    <t>2.3.12.5.3.5</t>
  </si>
  <si>
    <t>Belanja Modal Jalan</t>
  </si>
  <si>
    <t>2.3.12.5.3.5.01</t>
  </si>
  <si>
    <t>TPK</t>
  </si>
  <si>
    <t>2.3.12.5.3.5.02</t>
  </si>
  <si>
    <t>Pekerja lansiran</t>
  </si>
  <si>
    <t>2.3.12.5.3.5.03</t>
  </si>
  <si>
    <t>Batu Belah 15 cm / 20 cm</t>
  </si>
  <si>
    <t xml:space="preserve">Semen </t>
  </si>
  <si>
    <t>Papan proyek</t>
  </si>
  <si>
    <t>: Pembangunan Jalan Usaha Tani (Subak Temaga Munduk Pengiu GALIAN)</t>
  </si>
  <si>
    <t>GALIAN 67 m3</t>
  </si>
  <si>
    <t>: Pembangunan Jalan Usaha Tani (Subak Temaga Munduk Pengiu URUGAN LIMESTONE)</t>
  </si>
  <si>
    <t>Urugan lime Stone 138.1 m3</t>
  </si>
  <si>
    <t>Pekerja Lansiran</t>
  </si>
  <si>
    <t>Limestone</t>
  </si>
  <si>
    <t>Peralatan Sewa</t>
  </si>
  <si>
    <t>Sewa Stamper</t>
  </si>
  <si>
    <t>: Pembangunan Jalan Usaha Tani (Subak Temaga Munduk Pengiu PEMBETONAN)</t>
  </si>
  <si>
    <t>Pembetonan, 63m3</t>
  </si>
  <si>
    <t>KG</t>
  </si>
  <si>
    <t>Pasir Beton</t>
  </si>
  <si>
    <t>Koral Beton</t>
  </si>
  <si>
    <t>: Pembangunan Jalan Usaha Tani (Subak Temaga Munduk Pengiu BEKISTING)</t>
  </si>
  <si>
    <t>Bekisting 285.1m3</t>
  </si>
  <si>
    <t>Kayu Kelas III</t>
  </si>
  <si>
    <t>Playwood 9mm</t>
  </si>
  <si>
    <t>Paku Biasa 5' - 10'</t>
  </si>
  <si>
    <t>Kayu Usuk 4/6</t>
  </si>
  <si>
    <t>: Pembangunan Jalan Usaha Tani (Subak Temaga Munduk Pengiu PEMBESIAN)</t>
  </si>
  <si>
    <t>Pembesian  520m</t>
  </si>
  <si>
    <t>Besi Wire mesh M10</t>
  </si>
  <si>
    <t>Kawat Beton</t>
  </si>
  <si>
    <t>: Pembangunan Jalan Usaha Tani (Subak Temaga Munduk Pengiu RABAT BETON)</t>
  </si>
  <si>
    <t>Rabat Beton, 23.1m3</t>
  </si>
  <si>
    <t>Pembersihan site : 519.75m2</t>
  </si>
  <si>
    <t>: Pembangunan Jalan Usaha Tani (Subak Temaga Munduk Pengiu KOLOM PENGUAT BETON BERTULANG 20X20 )</t>
  </si>
  <si>
    <t>Kolom 20 X 20: 138M1</t>
  </si>
  <si>
    <t>Paku Biasa 5' - 12'</t>
  </si>
  <si>
    <t>Besi Beton ulir 13</t>
  </si>
  <si>
    <t>: Pembangunan Jalan Usaha Tani (Subak Temaga Munduk Pengiu BEKISTING UNTUK PONDASI)</t>
  </si>
  <si>
    <t>Pemeliharaan Jalan Lingkungan Permukiman /Gang Belakang SD (Pembersihan Site)</t>
  </si>
  <si>
    <t>Pembersihan Site 285.80m2</t>
  </si>
  <si>
    <t>2.3.03.5.3</t>
  </si>
  <si>
    <t>2.3.03.5.3.5</t>
  </si>
  <si>
    <t>2.3.03.5.3.5.01</t>
  </si>
  <si>
    <t>2.3.03.5.3.5.02</t>
  </si>
  <si>
    <t>Pemeliharaan Jalan Lingkungan Permukiman /Gang Belakang SD (Pemavingan)</t>
  </si>
  <si>
    <t>Paving : 188m2, Kanstin s : 136m1</t>
  </si>
  <si>
    <t>2.3.02.5.3</t>
  </si>
  <si>
    <t>2.3.02.5.3.5</t>
  </si>
  <si>
    <t>2.3.02.5.3.5.01</t>
  </si>
  <si>
    <t>2.3.02.5.3.5.02</t>
  </si>
  <si>
    <t>2.3.02.5.3.5.03</t>
  </si>
  <si>
    <t>Pemeliharaan Jalan Lingkungan Permukiman Gang Sekar Sari Baru II (Pembersihan Site)</t>
  </si>
  <si>
    <t>Pembersihan Site 150.30m2</t>
  </si>
  <si>
    <t>Pemeliharaan Jalan Lingkungan Permukiman Gang Sekar Sari Baru II (Pemavingan)</t>
  </si>
  <si>
    <t>Paving : 125.25m2, Kanstin s : 50.10m1</t>
  </si>
  <si>
    <t>Pemeliharaan Jalan Lingkungan Permukiman Gang Sekar Sari Baru II ( Rabat Pengunci Paving)</t>
  </si>
  <si>
    <t>Rabat Beton, 1,50m3</t>
  </si>
  <si>
    <t>80m2</t>
  </si>
  <si>
    <t>GALIAN 14,18 m3</t>
  </si>
  <si>
    <t>Pondasi Batu Kali 12.40m3</t>
  </si>
  <si>
    <t>Tukang sambungan Got</t>
  </si>
  <si>
    <t xml:space="preserve">Pipa </t>
  </si>
  <si>
    <t>btg</t>
  </si>
  <si>
    <t>Pipa L</t>
  </si>
  <si>
    <t>Lem</t>
  </si>
  <si>
    <t>BETON, 5,32 M3</t>
  </si>
  <si>
    <t>M3</t>
  </si>
  <si>
    <t>BETON, 6,72 M3</t>
  </si>
  <si>
    <t>Pembesian  317,52m2</t>
  </si>
  <si>
    <t>Pasir Urug, 4m3, Tanah Urug, 32m3</t>
  </si>
  <si>
    <t>Tanah Urug</t>
  </si>
  <si>
    <t>Jasa Sewa</t>
  </si>
  <si>
    <t>BETON JALAN , 6,4 M3</t>
  </si>
  <si>
    <t>Bekisting 17.6m2</t>
  </si>
  <si>
    <t>Bekisting 26.88m2</t>
  </si>
  <si>
    <t>Pemeliharaan Jalan Lingkungan Permukiman Pura Dalem Laplap ( Pembersihan Site)</t>
  </si>
  <si>
    <t>20m2</t>
  </si>
  <si>
    <t>Pemeliharaan Jalan Lingkungan Permukiman Pura Dalem Laplap ( pembongkaran tembok lama)</t>
  </si>
  <si>
    <t>30m2</t>
  </si>
  <si>
    <t>Pemeliharaan Jalan Lingkungan Permukiman Pura Dalem Laplap ( GALIAN PONDASI)</t>
  </si>
  <si>
    <t>GALIAN 11.50 m3</t>
  </si>
  <si>
    <t>Pemeliharaan Jalan Lingkungan Permukiman Pura Dalem Laplap ( PONDASI)</t>
  </si>
  <si>
    <t>Pondasi Batu Kali 9.2m3</t>
  </si>
  <si>
    <t>Pemeliharaan Jalan Lingkungan Permukiman Pura Dalem Laplap ( Urugan Tanah Kembali)</t>
  </si>
  <si>
    <t>Urugan Tanah 2,76m3</t>
  </si>
  <si>
    <t>Pemeliharaan Jalan Lingkungan Permukiman Pura Dalem Laplap ( SLOOF beton bertulang)</t>
  </si>
  <si>
    <t>Sloof 0.69m3</t>
  </si>
  <si>
    <t>Pemeliharaan Jalan Lingkungan Permukiman Pura Dalem Laplap ( PASANG BATAKO)</t>
  </si>
  <si>
    <t>Pasang Batako 29.7m3</t>
  </si>
  <si>
    <t>Besi Beton 8 mm</t>
  </si>
  <si>
    <t xml:space="preserve">Pintu Besi </t>
  </si>
  <si>
    <t>Pemeliharaan Jalan Lingkungan Permukiman Pura Dalem Laplap ( RING BALOK)</t>
  </si>
  <si>
    <t>RING BALOK : 4.05m3</t>
  </si>
  <si>
    <t>Pemeliharaan Jalan Lingkungan Permukiman Pura Dalem Laplap ( PLESTERAN )</t>
  </si>
  <si>
    <t>PLESTERAN : 64.80m2</t>
  </si>
  <si>
    <t>Pemeliharaan Jalan Lingkungan Permukiman Pura Dalem Laplap (BAN - BANAN PLESTERAN )</t>
  </si>
  <si>
    <t>PLESTERAN : 54m1</t>
  </si>
  <si>
    <t>Pemeliharaan Jalan Lingkungan Permukiman Pura Dalem Laplap ( GALIAN PONDASI TEMBOK BARU)</t>
  </si>
  <si>
    <t>GALIAN 3,30 m3</t>
  </si>
  <si>
    <t>Pemeliharaan Jalan Lingkungan Permukiman Pura Dalem Laplap (  PONDASI BETON TEMBOK BARU)</t>
  </si>
  <si>
    <t>Pondasi 1,6m3</t>
  </si>
  <si>
    <t>Pemeliharaan Jalan Lingkungan Permukiman Pura Dalem Laplap (  PEMBESIAN PONDASI TEMBOK BARU)</t>
  </si>
  <si>
    <t>Pembesian  16,24m2</t>
  </si>
  <si>
    <t>Pemeliharaan Jalan Lingkungan Permukiman Pura Dalem Laplap (  URUGAN TANAH  TEMBOK BARU)</t>
  </si>
  <si>
    <t>Urugan Tanah 1.52m3</t>
  </si>
  <si>
    <t>Pemeliharaan Jalan Lingkungan Permukiman Pura Dalem Laplap ( PLESTERAN TEMBOK bARU )</t>
  </si>
  <si>
    <t>PLESTERAN : 84m2</t>
  </si>
  <si>
    <t>Pemeliharaan Jalan Lingkungan Permukiman Pura Dalem Laplap (BAN - BANAN PLESTERAN TEMBOK BARU )</t>
  </si>
  <si>
    <t>PLESTERAN : 70m1</t>
  </si>
  <si>
    <t>Paving : 325m2, Kanstin s : 5m1</t>
  </si>
  <si>
    <t>Rabat Beton, 2m3</t>
  </si>
  <si>
    <t>Pemeliharaan Jalan Lingkungan Permukiman/Pengorong Desa Adat Bekul ( Bongkar paving )</t>
  </si>
  <si>
    <t>27m2</t>
  </si>
  <si>
    <t>: Penguatan Ketahanan Pangan Tingkat Desa (Penanaman Bunga Gumitir)</t>
  </si>
  <si>
    <t>Lanjut</t>
  </si>
  <si>
    <t>Pemeliharaan Jalan Lingkungan Permukiman Gang Lotus Tembus Gang Pacah( Galian)</t>
  </si>
  <si>
    <t>Pemeliharaan Jalan Lingkungan Permukiman Gang Lotus Tembus Gang Pacah ( PONDASI BATU KALI)</t>
  </si>
  <si>
    <t>orientasi Lapangan</t>
  </si>
  <si>
    <t>Orientasi Lapangan</t>
  </si>
  <si>
    <t>Konsumsi Rapat Koordinasi ( 40 or x 12 kl )</t>
  </si>
  <si>
    <t>Konsumsi Rapat Koordinasi (20or x 12 Kali)</t>
  </si>
  <si>
    <t>Konsumsi Rapat Koordinasi 45or x 12 Bulan</t>
  </si>
  <si>
    <t>:Penyelenggaraan Desa Siaga Kesehatan (Penyuluhan kesehatan keliling)</t>
  </si>
  <si>
    <t>Konsumsi Pelatihan (5or x 12kali)</t>
  </si>
  <si>
    <t>42.2.04.5.2.2.04</t>
  </si>
  <si>
    <t>Narasumber (1or x 12kali )</t>
  </si>
  <si>
    <t>Jasa Konseling Profesional (1or x 12 kali)</t>
  </si>
  <si>
    <t>Nganyarin ke Pura Pengubengan Besakih</t>
  </si>
  <si>
    <t>Nganyarin ke Pura Merajan Selonding Besakih</t>
  </si>
  <si>
    <t>: Sosialisasi kepada Masyarakat di Bidang Hukum dan Pelindungan Masyarakat(Pembinaan Pengembangan Aplikasi Jaringan Dokumentasi Dan Informasi Hukum Desa)</t>
  </si>
  <si>
    <t>3.1.07.5.2</t>
  </si>
  <si>
    <t>3.1.07.5.2.1</t>
  </si>
  <si>
    <t>3.1.07.5.2.1.06</t>
  </si>
  <si>
    <t>Konsumsi Pembinaan ( 35 or x 1 Kali)</t>
  </si>
  <si>
    <t>3.1.07.5.2.1.08</t>
  </si>
  <si>
    <t>3.1.07.5.2.1.90</t>
  </si>
  <si>
    <t>Belanja Program Aplikasi</t>
  </si>
  <si>
    <t>Aplikasi JDIH Desa</t>
  </si>
  <si>
    <t>3.1.07.5.2.2</t>
  </si>
  <si>
    <t>3.1.07.5.2.2.04</t>
  </si>
  <si>
    <t>Honor Narasumber  ( 2or x 1kali )</t>
  </si>
  <si>
    <t>:Sosialisasi kepada Masyarakat di Bidang Hukum dan Pelindungan Masyarakat (Pembinaan Keluarga Sadar Hukum)</t>
  </si>
  <si>
    <t>: Pembinaan dan Kirab Obor Dalam Rangka Hari Kemerdekaan ( 17 Agustus 2025 )</t>
  </si>
  <si>
    <t>Konsumsi Pembinaan ( Peserta 50 or + Pelatih 2 or + TPK 5 or + Perangkat Desa 4 or  X 4 Kl )</t>
  </si>
  <si>
    <t>Konsumsi Gladi ( Peserta 50 or + Pelatih 2 or + TPK 5 or + Perangkat Desa 4 or )</t>
  </si>
  <si>
    <t>Konsumsi Kegiatan ( BPD 9 or + Perangkat Desa 26 or + TPK 5 or + Peserta 50 or  + LPM 3 or + PKK 5 + Bhabinsa 2 or + Linmas 5 or )</t>
  </si>
  <si>
    <t>Obor</t>
  </si>
  <si>
    <t>Bendera Merah Putih</t>
  </si>
  <si>
    <t>Honor Pelatih ( 2 Or X 5 Kl )</t>
  </si>
  <si>
    <t>3.2.03.5.2.7.01</t>
  </si>
  <si>
    <t>3.2.03.5.2.4.07</t>
  </si>
  <si>
    <t>Belanja Jasa Sewa Sarana/ Perlengkapan</t>
  </si>
  <si>
    <t>Sewa Sound system</t>
  </si>
  <si>
    <t>Sewa Dekorasi Stage</t>
  </si>
  <si>
    <t>Sewa Tenda ( 5 X 5 m )</t>
  </si>
  <si>
    <t>Sewa Kursi Plastik</t>
  </si>
  <si>
    <t xml:space="preserve">Sewa Meja </t>
  </si>
  <si>
    <t>Sewa Lighting</t>
  </si>
  <si>
    <t>: Penyelenggaraan Pembangunan Desa</t>
  </si>
  <si>
    <t>: Kehutanan Dan Lingkungan Hidup</t>
  </si>
  <si>
    <t>: Sosialisasi tentang Lingkungan Hidup dan Kehutanan (Sosialisasi Pemilihan Sampah Rumah Tangga)</t>
  </si>
  <si>
    <t>Sosialisasi</t>
  </si>
  <si>
    <t>Konsumsi (100 or x 13 br x 1 kali)</t>
  </si>
  <si>
    <t>2.5.03.5.2.1.90</t>
  </si>
  <si>
    <t>2.5.03.5.2.2</t>
  </si>
  <si>
    <t>2.5.03.5.2.2.01</t>
  </si>
  <si>
    <t>2.5.03.5.2.2.04</t>
  </si>
  <si>
    <t>Honor Narasumber/ Instruktur (1 or x 13 kali )</t>
  </si>
  <si>
    <t>2.2.03.5.2.2.02</t>
  </si>
  <si>
    <t>: TIM KEBERSIHAN SUNGAI</t>
  </si>
  <si>
    <t>Upah Petugas Tim Kebersihan Sungai (10 or x 12 bln)</t>
  </si>
  <si>
    <t>:Kebudayaan dan Kegamaan</t>
  </si>
  <si>
    <t>: Pemeliharaan Sarana dan Prasarana Kantor Desa ( Papan Nama Desa )</t>
  </si>
  <si>
    <t>1 Unit Papan Nama Desa</t>
  </si>
  <si>
    <t>1.2.02.5.3</t>
  </si>
  <si>
    <t>1.2.02.5.3.4</t>
  </si>
  <si>
    <t>Belanja Modal, Gedung</t>
  </si>
  <si>
    <t>1.2.02.5.3.4.01</t>
  </si>
  <si>
    <t>Belanja Modal Oprasional Tim Pelaksana Kegiatan</t>
  </si>
  <si>
    <t>Honor Tim yang melaksanak kegiatan</t>
  </si>
  <si>
    <t>1.2.02.5.3.4.02</t>
  </si>
  <si>
    <t>1.2.02.5.3.4.03</t>
  </si>
  <si>
    <t>Bata Pres</t>
  </si>
  <si>
    <t>Batako</t>
  </si>
  <si>
    <t>Prasasti Nama Kantor</t>
  </si>
  <si>
    <t>: Penyuluhan dan Pelatihan Bidang Kesehatan Untuk Masyarakat  (Pembinaan Kader Kesehatan Jiwa )</t>
  </si>
  <si>
    <t>Pemeliharaan Jalan Lingkungan Permukiman/Pengorong Desa Adat Bekul (Rabat Beton)</t>
  </si>
  <si>
    <t>Bidang I</t>
  </si>
  <si>
    <t>Bidang II</t>
  </si>
  <si>
    <t>Keguatan</t>
  </si>
  <si>
    <t>Anggaran</t>
  </si>
  <si>
    <t>Gang Pacah</t>
  </si>
  <si>
    <t>Silpa</t>
  </si>
  <si>
    <t>Pura dalem</t>
  </si>
  <si>
    <t>Pemavingan tempat pembuangan sampah pengorong bekul</t>
  </si>
  <si>
    <t>Sarana dan Prasarana Pemerintah Desa</t>
  </si>
  <si>
    <t>Pemeliharaan/ Rehabilitasi/ Peningkatan Gedung/ Prasarana Kantor Desa (Perbaikan Plafont Toilet Latai 1)</t>
  </si>
  <si>
    <t>Belanja modal Gedung, Bangunan, Tanaman</t>
  </si>
  <si>
    <t>Belanja modal oprasional tim yang melaksanakan kegiatan</t>
  </si>
  <si>
    <t>Oprasional TPK</t>
  </si>
  <si>
    <t>Belanja modal upah tenaga kerja</t>
  </si>
  <si>
    <t>Belanja modal bahan baku</t>
  </si>
  <si>
    <t>Perbaikan Plafon Kamar mandi Linmas</t>
  </si>
  <si>
    <t>Pemeliharaan/ Rehabilitasi/ Peningkatan Gedung/ Prasarana Kantor Desa (Perbaikan Plafont kamar mandi Lantai 2)</t>
  </si>
  <si>
    <t>Perbaikan Plafon Kamar mandi Lantai 2</t>
  </si>
  <si>
    <t>Pemeliharaan Sarana dan Prasarana TK Milik Desa (Paranet Tempat Bermain)</t>
  </si>
  <si>
    <t>: 20,25m2</t>
  </si>
  <si>
    <t>2.1.05.5.3</t>
  </si>
  <si>
    <t>2.1.05.5.3.4</t>
  </si>
  <si>
    <t>2.1.05.5.3.4.01</t>
  </si>
  <si>
    <t>KL</t>
  </si>
  <si>
    <t>2.1.05.5.3.4.02</t>
  </si>
  <si>
    <t>2.1.05.5.3.4.03</t>
  </si>
  <si>
    <t>Rangka besi galvanis 4x4cm di atas BRC</t>
  </si>
  <si>
    <t>Pagar Paranet Hitam</t>
  </si>
  <si>
    <t>Cat Hitam Rangka Besi Galvanis</t>
  </si>
  <si>
    <t>Pemeliharaan/ Rehabilitasi/ Peningkatan Gedung/ Prasarana Kantor Desa (Perbaikan Instalasi AC)</t>
  </si>
  <si>
    <t>Pemasangan Pipa PVC 4"</t>
  </si>
  <si>
    <t>Pemasangan Sambungan Kni $"</t>
  </si>
  <si>
    <t>Lem Pipa</t>
  </si>
  <si>
    <t>Breket Pegangan Pipa</t>
  </si>
  <si>
    <t>Pemeliharaan Jalan Lingkungan Permukiman Gang Lotus tembus gang pacah ( Pembersihan Site)</t>
  </si>
  <si>
    <t>Pemeliharaan Jalan Lingkungan Permukiman Gang Lotus Tembus Gang Pacah ( Pondasi Beton Bertulang)</t>
  </si>
  <si>
    <t>Pemeliharaan Jalan Lingkungan Permukiman Gang Lotus Tembus Gang Pacah ( COR PLAT PENUTUP GOT)</t>
  </si>
  <si>
    <t>Pemeliharaan Jalan Lingkungan Permukiman Gang Lotus Tembus Gang Pacah ( PEMBESIAN)</t>
  </si>
  <si>
    <t>Pemeliharaan Jalan Lingkungan Permukiman Gang Lotus Tembus Gang Pacah (URUGAN)</t>
  </si>
  <si>
    <t>Pemeliharaan Jalan Lingkungan Permukiman Gang Lotus Tembus Gang Pacah ( COR JALAN)</t>
  </si>
  <si>
    <t>Pemeliharaan Jalan Lingkungan Permukiman Gang Lotus Pembus Gang Pacah ( BEKISTING PONDASI)</t>
  </si>
  <si>
    <t>Pemeliharaan Jalan Lingkungan Permukiman Gang Lotus Tembus Gang Pacah( BEKISTING PLAT TUTUP GOT)</t>
  </si>
  <si>
    <t>Pembersihan Site 128m2</t>
  </si>
  <si>
    <t>Paving : 722m2, Kanstin s : 279m1</t>
  </si>
  <si>
    <t>Rabat Beton, 11m3</t>
  </si>
  <si>
    <t>: Pemeliharaan Jalan Usaha Tani (Perbaikan Subak Temaga Munduk Pengiu pembersihan site)</t>
  </si>
  <si>
    <t>Pembersihan Site 93.94m2</t>
  </si>
  <si>
    <t>: Pemeliharaan Jalan Usaha Tani (Perbaikan Subak Temaga Munduk Pengiu PEMAVINGAN)</t>
  </si>
  <si>
    <t>Paving : 93.94m2, Kanstin s : 29.50m1</t>
  </si>
  <si>
    <t>Kanstin K225</t>
  </si>
  <si>
    <t>Pemeliharaan/ Rehabilitasi/ Peningkatan Gedung/ Prasarana Kantor Desa (Penataan Kebun dan Vertical Garden)</t>
  </si>
  <si>
    <t>: 126m2</t>
  </si>
  <si>
    <t>Tanah Humus</t>
  </si>
  <si>
    <t>Tanaman Hias kantor</t>
  </si>
  <si>
    <t>Tanaman Kebun patung usaha tani</t>
  </si>
  <si>
    <t>Terpeliharanya Bangunan Kantor</t>
  </si>
  <si>
    <t>Terpelihaaranya Bangunan TK</t>
  </si>
  <si>
    <t>: Pembangunan Jalan Usaha Tani ( Subak Temaga Munduk Pengiu Pembersihan Site)</t>
  </si>
  <si>
    <t>Pemeliharaan Jalan Lingkungan Permukiman/Gang Plamboyan I (Pembersihan Site)</t>
  </si>
  <si>
    <t>Pemeliharaan Jalan Lingkungan Permukiman/Gang Plamboyan I (Pemavingan)</t>
  </si>
  <si>
    <t>Pemeliharaan Jalan Lingkungan Permukiman/Gang Plamboyan I (Rabat Beton)</t>
  </si>
  <si>
    <t>Pemeliharaan Jalan Lingkungan Permukiman/Pengorong Desa Adat Bekul (Pemavingan)</t>
  </si>
  <si>
    <t>4, 8, 10, 17</t>
  </si>
  <si>
    <t>4, 8, 10, 11, 16, 17, 18</t>
  </si>
  <si>
    <t>1</t>
  </si>
  <si>
    <t>Terlaksananya Pengawasa Anjing Liar</t>
  </si>
  <si>
    <t>Terlaksananya penyuluhan bidang kesehatan</t>
  </si>
  <si>
    <t>105,30 m2</t>
  </si>
  <si>
    <t>125,5m2</t>
  </si>
  <si>
    <t>1.50 m3</t>
  </si>
  <si>
    <t>285,50m2</t>
  </si>
  <si>
    <t>188m2</t>
  </si>
  <si>
    <t>117.73m3</t>
  </si>
  <si>
    <t>67m3</t>
  </si>
  <si>
    <t>138,1m3</t>
  </si>
  <si>
    <t>63,3m3</t>
  </si>
  <si>
    <t>285,1m2</t>
  </si>
  <si>
    <t>520m</t>
  </si>
  <si>
    <t>23.1m3</t>
  </si>
  <si>
    <t>138m</t>
  </si>
  <si>
    <t>Bekisting 24m2</t>
  </si>
  <si>
    <t>24m2</t>
  </si>
  <si>
    <t>14,18m3</t>
  </si>
  <si>
    <t>12.4m3</t>
  </si>
  <si>
    <t>3,52m3</t>
  </si>
  <si>
    <t>6,72m3</t>
  </si>
  <si>
    <t>317,52m2</t>
  </si>
  <si>
    <t>32m3</t>
  </si>
  <si>
    <t>6.4m3</t>
  </si>
  <si>
    <t>17,6m2</t>
  </si>
  <si>
    <t>28,88m2</t>
  </si>
  <si>
    <t>128m2</t>
  </si>
  <si>
    <t>722m2</t>
  </si>
  <si>
    <t>11,3m3</t>
  </si>
  <si>
    <t>93.94m2</t>
  </si>
  <si>
    <t>11,50m3</t>
  </si>
  <si>
    <t>9.2m3</t>
  </si>
  <si>
    <t>2,76m3</t>
  </si>
  <si>
    <t>0,69m3</t>
  </si>
  <si>
    <t>29,7m2</t>
  </si>
  <si>
    <t>4,05m3</t>
  </si>
  <si>
    <t>64,80m2</t>
  </si>
  <si>
    <t>54m</t>
  </si>
  <si>
    <t>3.30m3</t>
  </si>
  <si>
    <t>1.6m3</t>
  </si>
  <si>
    <t>1.52m3</t>
  </si>
  <si>
    <t>16.24m2</t>
  </si>
  <si>
    <t>84m2</t>
  </si>
  <si>
    <t>70m</t>
  </si>
  <si>
    <t>325m2</t>
  </si>
  <si>
    <t>2m3</t>
  </si>
  <si>
    <t>27,2m2</t>
  </si>
  <si>
    <t>Terlaksananya pemiliharaan Jalan Lingkungan</t>
  </si>
  <si>
    <t>Terlaksananya Pembangunan Jalan Usaha Tani</t>
  </si>
  <si>
    <t>Terlaksana Penyuluhan Aplkasi Hukum</t>
  </si>
  <si>
    <t>Terlaksananya Peringatan 17 Agustus</t>
  </si>
  <si>
    <t>Terlaksananya Pelatihan Lembaga Desa</t>
  </si>
  <si>
    <t>Terpeliharanya Bangunan adat</t>
  </si>
  <si>
    <t>20 orang</t>
  </si>
  <si>
    <t>39 orang</t>
  </si>
  <si>
    <t>Pelatihan Pangan</t>
  </si>
  <si>
    <t>Pengolahan Sampah</t>
  </si>
  <si>
    <t>Peningkatan Kesejah teraan Masyarakat</t>
  </si>
  <si>
    <t>Aminitrasi Desa Terlaksanan</t>
  </si>
  <si>
    <t>Terlaksananya kesehatan Jiwa</t>
  </si>
  <si>
    <t>265Hari</t>
  </si>
  <si>
    <t>Pembangunan Saluran Air Subak Temaga Dari Asitaba sampai Banjar Buaji</t>
  </si>
  <si>
    <t>565 m</t>
  </si>
  <si>
    <t>: Penyuluhan dan Pelatihan Bidang Kesehatan ( Sosialisasi anjing rabies)</t>
  </si>
  <si>
    <t>: Penyuluhan dan Pelatihan Bidang Kesehatan Untuk Masyarakat  (Sosialisasi Sanitasi pedagang )</t>
  </si>
  <si>
    <t>BHRD</t>
  </si>
  <si>
    <t>BKK Tambahan Penghasilan</t>
  </si>
  <si>
    <t>Bunga Bank</t>
  </si>
  <si>
    <t>PAD Swadaya</t>
  </si>
  <si>
    <t>Silpa DD</t>
  </si>
  <si>
    <t>Silpa ADD</t>
  </si>
  <si>
    <t>Silpa BHPD</t>
  </si>
  <si>
    <t>Silpa BHRD</t>
  </si>
  <si>
    <t>Silpa PAD</t>
  </si>
  <si>
    <t>Silpa Bunga Bank</t>
  </si>
  <si>
    <t>Silpa BKK</t>
  </si>
  <si>
    <t>Bidang III</t>
  </si>
  <si>
    <t>Bidang IV</t>
  </si>
  <si>
    <t>Bidang V</t>
  </si>
  <si>
    <t>BKK Tambahan Pengasilan</t>
  </si>
  <si>
    <t>Silpa BKK Motor</t>
  </si>
  <si>
    <t>BKK Provinsi</t>
  </si>
  <si>
    <t>Tunjangan Hari Raya Sekdes</t>
  </si>
  <si>
    <t>Samsat Motor Listrik</t>
  </si>
  <si>
    <t>Pemeliharaan (Printer 11 unit )</t>
  </si>
  <si>
    <t>Pemeliharaan (Service 15unit AC)</t>
  </si>
  <si>
    <t>Pemeliharaan 3 Unit PC</t>
  </si>
  <si>
    <t>Pemerliharaan 20 Unit Laptop</t>
  </si>
  <si>
    <t>Pemeliharaan HT (36 Unit)</t>
  </si>
  <si>
    <t>Anggota  ( 6 or x 12 bln )</t>
  </si>
  <si>
    <t>Kupon Bazar (310Lbr x 1 thn )</t>
  </si>
  <si>
    <t>BKK TPP</t>
  </si>
  <si>
    <t>Selisih</t>
  </si>
  <si>
    <t>Seragam PDL</t>
  </si>
  <si>
    <t>Buku Anggota Linmas</t>
  </si>
  <si>
    <t>Kopel Linmas</t>
  </si>
  <si>
    <t>Konsumsi Pembinaan ( 31 or x 1 Kali)</t>
  </si>
  <si>
    <t>BKK Prov</t>
  </si>
  <si>
    <t>Silpa BPHPD</t>
  </si>
  <si>
    <t>BLT</t>
  </si>
  <si>
    <t>JUT</t>
  </si>
  <si>
    <t>Batu kali</t>
  </si>
  <si>
    <t>Galian</t>
  </si>
  <si>
    <t>limstone</t>
  </si>
  <si>
    <t>Pembetonan</t>
  </si>
  <si>
    <t>bekisting</t>
  </si>
  <si>
    <t>pembesian</t>
  </si>
  <si>
    <t>rabat</t>
  </si>
  <si>
    <t>pembersihan</t>
  </si>
  <si>
    <t>kolom</t>
  </si>
  <si>
    <t>bekisting pondasi</t>
  </si>
  <si>
    <t>Brangkas</t>
  </si>
  <si>
    <t>Sofa Ruang BPD</t>
  </si>
  <si>
    <t>AC 1PK TK</t>
  </si>
  <si>
    <t>Laptop Skretaris</t>
  </si>
  <si>
    <t>Buku Tulis Folio 100 kiky</t>
  </si>
  <si>
    <t>BPJS</t>
  </si>
  <si>
    <t>Kesehatan</t>
  </si>
  <si>
    <t>Ketenaga Kerjaan</t>
  </si>
  <si>
    <t>Perbekel</t>
  </si>
  <si>
    <t>Ketenagakerajaan</t>
  </si>
  <si>
    <t>Mandiri</t>
  </si>
  <si>
    <t>Kantor</t>
  </si>
  <si>
    <t>Pebekel</t>
  </si>
  <si>
    <t>SILTAP+TUNJANGAN</t>
  </si>
  <si>
    <t>kaue kasi</t>
  </si>
  <si>
    <t>kadus</t>
  </si>
  <si>
    <t>Pemeliharaan Jalan Lingkungan Permukiman /Gang Sekar Sari III (Pemavingan)</t>
  </si>
  <si>
    <t>Paving : 325m2, Kanstin s : 27m1, Kanstin DKI : 5m1</t>
  </si>
  <si>
    <t>Kanstin DKI</t>
  </si>
  <si>
    <t>Pemeliharaan Jalan Lingkungan Permukiman /Gang Sekar Sari III (Beton Pengunci)</t>
  </si>
  <si>
    <t>: Pelaksanaan Pembangunan</t>
  </si>
  <si>
    <t>: IV</t>
  </si>
  <si>
    <t>: Pemeliharaan Saluran Irigasi Tersier/ Sederhana (Saluran Tersier Subak Taman Munduk Enjung bekisting)</t>
  </si>
  <si>
    <t xml:space="preserve">: Panjang (107.40m2) </t>
  </si>
  <si>
    <t>KETERANGAN</t>
  </si>
  <si>
    <t>Belanja Belanja Upah Tenaga Kerja</t>
  </si>
  <si>
    <t>Pekerjaan Lansiran</t>
  </si>
  <si>
    <t xml:space="preserve">Pekerja </t>
  </si>
  <si>
    <t>Belanja Bahan Baku</t>
  </si>
  <si>
    <t>Plywood 9 mm</t>
  </si>
  <si>
    <t>: Pemeliharaan Saluran Irigasi Tersier/ Sederhana (Saluran Tersier Subak Taman Munduk Enjung Rabat Beton Lantai)</t>
  </si>
  <si>
    <t xml:space="preserve">: Panjang (7.16m3) </t>
  </si>
  <si>
    <t>: Pemeliharaan Saluran Irigasi Tersier/ Sederhana (Saluran Tersier Subak Taman Munduk Enjung Pembersihan Side dan pembongkaran)</t>
  </si>
  <si>
    <t>: 44,75m3</t>
  </si>
  <si>
    <t>: Pemeliharaan Saluran Irigasi Tersier/ Sederhana (Saluran Tersier Subak Taman Munduk Enjung Pembesian)</t>
  </si>
  <si>
    <t xml:space="preserve">: Panjang (340.10 m2) </t>
  </si>
  <si>
    <t>kf</t>
  </si>
  <si>
    <t>: Pemeliharaan Saluran Irigasi Tersier/ Sederhana (Saluran Tersier Subak Taman Munduk Enjung Pembetonan)</t>
  </si>
  <si>
    <t xml:space="preserve">: Panjang (39.38m3) </t>
  </si>
  <si>
    <t>Honorarium Staff Pembantu Kaur/kasi (9 or x 12bln)</t>
  </si>
  <si>
    <t>Jaminan Kesehatan Staf Kaur Kasi 9 or x 12bln</t>
  </si>
  <si>
    <t>Konsumsi 50or x 4 kali Musdes</t>
  </si>
  <si>
    <t>: Penyusunan dokumen keuangan Desa (APBDesa Perubahan 2025)</t>
  </si>
  <si>
    <t>: Pengelolaan Administrasi dan Kearsipan pemerintahan Desa ( Pelatihan Kearsipan )</t>
  </si>
  <si>
    <t>: Penyusunan/ Pendataan/Pemuktahiran Profil Desa (Pengkajian Tapal Batas Desa )</t>
  </si>
  <si>
    <t>Sekretaris 1or x3bln</t>
  </si>
  <si>
    <t>Ketua 1or x 3bln</t>
  </si>
  <si>
    <t>CCTV TPS Bekul</t>
  </si>
  <si>
    <t>CCTV TPS Pengegeh</t>
  </si>
  <si>
    <t xml:space="preserve">Konsumsi Pendampingan </t>
  </si>
  <si>
    <t>Belanja PMT untuk Balita (623 anak x 12)</t>
  </si>
  <si>
    <t>Pencadangan Modal Pembelian Aset</t>
  </si>
  <si>
    <t>Pencandangan Modal</t>
  </si>
  <si>
    <t>bhpd</t>
  </si>
  <si>
    <t xml:space="preserve">Pengiriman 1 Regu Peserta Lomba Yel-Yel Bung Karno Tingkat Guru Paud  ( 1 Regu 11 Orang ) </t>
  </si>
  <si>
    <t>LAMPIRAN</t>
  </si>
  <si>
    <t>PERATURAN PERBEKEL DESA PENATIH DANGIN PURI</t>
  </si>
  <si>
    <t>PENJABARAN ANGGARAN PENDAPATAN</t>
  </si>
  <si>
    <t>DAN BELANJA DESA</t>
  </si>
  <si>
    <t>FORMAT PENJABARAN ANGGARAN PENDAPATAN DAN BELANJA DESA</t>
  </si>
  <si>
    <t>PEMERINTAH DESA PENATIH DANGIN PURI</t>
  </si>
  <si>
    <t>KODE REKENING</t>
  </si>
  <si>
    <t>KELUARAN/OUTPUT</t>
  </si>
  <si>
    <t>ANGGARAN</t>
  </si>
  <si>
    <t>SUMBER DANA</t>
  </si>
  <si>
    <t>SATUAN</t>
  </si>
  <si>
    <t>NOMOR    TAHUN 2024</t>
  </si>
  <si>
    <t>PENDAPATAN</t>
  </si>
  <si>
    <t>01</t>
  </si>
  <si>
    <t>Hasil Usaha</t>
  </si>
  <si>
    <t>Swadaya Partisipasi, Gotong Royong</t>
  </si>
  <si>
    <t>Swadaya Partisipasi Dan Gotong Royong</t>
  </si>
  <si>
    <t>Trasfer</t>
  </si>
  <si>
    <t>Bagi dari Hasil Pajak dan Retribusi Daerah Kapupaten/Kota</t>
  </si>
  <si>
    <t>Alokasi Dana Desa</t>
  </si>
  <si>
    <t>Bantuan Keuangan Provinsi</t>
  </si>
  <si>
    <t>Bantuan Keuangan dari APBD Provinsi</t>
  </si>
  <si>
    <t>Bantuan Keuangan APBD Kabupaten/Kota</t>
  </si>
  <si>
    <t>Pendapatan Lain - lain</t>
  </si>
  <si>
    <t>JUMLAH PENDAPATAN</t>
  </si>
  <si>
    <t xml:space="preserve">Bagi dari Hasil Pajak Daerah </t>
  </si>
  <si>
    <t>Bagi dari Hasil Retribusi Daerah Kapupaten/Kota</t>
  </si>
  <si>
    <t>BELANJA</t>
  </si>
  <si>
    <t>02</t>
  </si>
  <si>
    <t>ADD, BHPD</t>
  </si>
  <si>
    <t>03</t>
  </si>
  <si>
    <t>04</t>
  </si>
  <si>
    <t>10'04</t>
  </si>
  <si>
    <t>05</t>
  </si>
  <si>
    <t>06</t>
  </si>
  <si>
    <t>07</t>
  </si>
  <si>
    <t>08</t>
  </si>
  <si>
    <t>09</t>
  </si>
  <si>
    <t>Silpa BKK Kota</t>
  </si>
  <si>
    <t>1.1.96.5.1.2.01</t>
  </si>
  <si>
    <t>Penghasilan tetap dan Tunjangan Perangkat</t>
  </si>
  <si>
    <t>Konsumsi 15or x 10kali</t>
  </si>
  <si>
    <t>Petugas  (5or x 4Kl)</t>
  </si>
  <si>
    <t>ADD, PAD</t>
  </si>
  <si>
    <t>ADD, Silpa ADD</t>
  </si>
  <si>
    <t>BHPD, ADD</t>
  </si>
  <si>
    <t>Silpa ADD, BHPD</t>
  </si>
  <si>
    <t>Belanja Bantuan Bangunan Yang Diserahkan Kepada Masyarakat</t>
  </si>
  <si>
    <t>3.2.04.5.2</t>
  </si>
  <si>
    <t>3.2.04.5.2.7</t>
  </si>
  <si>
    <t>3.2.04.5.2.7.03</t>
  </si>
  <si>
    <t>Belanja Jasa Sewa Mobiltas</t>
  </si>
  <si>
    <t>4.2.04.5.3</t>
  </si>
  <si>
    <t>Belanja Modal Irigasi</t>
  </si>
  <si>
    <t>4.2.04.5.3.7</t>
  </si>
  <si>
    <t>4.2.04.5.3.7.01</t>
  </si>
  <si>
    <t>4.2.04.5.3.7.02</t>
  </si>
  <si>
    <t>4.2.04.5.3.7.03</t>
  </si>
  <si>
    <t>5.3.5.4</t>
  </si>
  <si>
    <t>5.3.5.4.1</t>
  </si>
  <si>
    <t>.3.5.2.1.01</t>
  </si>
  <si>
    <t>00</t>
  </si>
  <si>
    <t>JUMLAH BELANJA</t>
  </si>
  <si>
    <t>SURPLUS/(DEFISIT)</t>
  </si>
  <si>
    <t>PEMBIAYAAN</t>
  </si>
  <si>
    <t>Penerimaan Pembiayaan</t>
  </si>
  <si>
    <t>Silpa Tahun Sebelumnya</t>
  </si>
  <si>
    <t>Pengeluaran Pembiayaan</t>
  </si>
  <si>
    <t>Penyertaan Modal Desa</t>
  </si>
  <si>
    <t>SELISIH PEMBIYAYAAN</t>
  </si>
  <si>
    <t>Belanja Barang Jas</t>
  </si>
  <si>
    <t>Penyertaan Modal Desa Cadangan</t>
  </si>
  <si>
    <t>Belaja Modal</t>
  </si>
  <si>
    <t>ANGGARAN PENDAPATAN DAN BELANJA DESA</t>
  </si>
  <si>
    <t>PERATURAN DESA PENATIH DANGIN PURI</t>
  </si>
  <si>
    <t>Pakaian Dinas Perbekel perangkat staf (endek)</t>
  </si>
  <si>
    <t>tambah</t>
  </si>
  <si>
    <t>rinci</t>
  </si>
  <si>
    <t>stel</t>
  </si>
  <si>
    <t>Jadi satu di oprasional</t>
  </si>
  <si>
    <t>susuaikan</t>
  </si>
  <si>
    <t>SHB</t>
  </si>
  <si>
    <t>Tambahan 1X</t>
  </si>
  <si>
    <t xml:space="preserve">umk </t>
  </si>
  <si>
    <t>siltap</t>
  </si>
  <si>
    <t>kaji</t>
  </si>
  <si>
    <t>kaji ulang</t>
  </si>
  <si>
    <t>sesuaikan</t>
  </si>
  <si>
    <t>koreksi</t>
  </si>
  <si>
    <t>Ke Plkab</t>
  </si>
  <si>
    <t>petugas</t>
  </si>
  <si>
    <t>harga nara sumber</t>
  </si>
  <si>
    <t>Oper ke kegiatan posyandu</t>
  </si>
  <si>
    <t>oj</t>
  </si>
  <si>
    <t>akomodasi</t>
  </si>
  <si>
    <t>Konsumsi ( 20 orngan Sasaran, 10orang petugas )</t>
  </si>
  <si>
    <t>Honor Narasumber (2or x 20kali)</t>
  </si>
  <si>
    <t>Honor Petugas lab (1or x 20kali)</t>
  </si>
  <si>
    <t>Konsumsi  35 or x 2 kali</t>
  </si>
  <si>
    <t>kewenagan puskesma</t>
  </si>
  <si>
    <t>Konsumsi Pelatihan (5or Kader, 2or narasumber 3 orang pendamping)</t>
  </si>
  <si>
    <t>Konsumsi ( 26or Kader, 2or narasumber, 3or pendamping x 1kali )</t>
  </si>
  <si>
    <t>Honorarium kader BKL ( 5or x 1 kelompok x 12 bulan)</t>
  </si>
  <si>
    <t>Konsumsi Rapat Bulanan (4orTPPS + 21TPK X 4 Kl)</t>
  </si>
  <si>
    <t>Konsumsi Rapat ( linmas 35 or kelihan banjar 13or bendesa 3or bhabib babinsa 2or BPD 1or, Pendampng 4or x 1 kali)</t>
  </si>
  <si>
    <t>Konsumsi Kegiatan( linmas 35 or kelihan banjar 13or bendesa 3or bhabib babinsa 2or BPD 1or,107or pecalang Pendampng 4or x 1 kali)</t>
  </si>
  <si>
    <t>Belanja Jasa Honorarium Petugas (Linmas 35 orang)</t>
  </si>
  <si>
    <t>Belanja Jasa Honorarium Petugas Linmas 35or, Bendesa 3or, 13kelihan banjar</t>
  </si>
  <si>
    <t>Konsumsi Rapat ( linmas 35 or kelihan banjar 13or bendesa 3or bhabib babinsa 2or BPD 1or, Pendampng 6or x 1 kali)</t>
  </si>
  <si>
    <t>Seragam PKK Desa Endek</t>
  </si>
  <si>
    <t>Seragam Forum ANak Desa (endek)</t>
  </si>
  <si>
    <t>Pemberian BLT 44 KK x 12bln</t>
  </si>
  <si>
    <t>silpa hadiah</t>
  </si>
  <si>
    <t xml:space="preserve">Kertas F4 75 gram </t>
  </si>
  <si>
    <t xml:space="preserve">Kertas A4 75 gram </t>
  </si>
  <si>
    <t xml:space="preserve">Binder Clip No. 105 </t>
  </si>
  <si>
    <t>Binder Clip No. 111</t>
  </si>
  <si>
    <t xml:space="preserve">Binder Clip No. 155 </t>
  </si>
  <si>
    <t xml:space="preserve">Bolpoin </t>
  </si>
  <si>
    <t xml:space="preserve">Tinta Stampel  </t>
  </si>
  <si>
    <t xml:space="preserve">Tinta Printer </t>
  </si>
  <si>
    <t xml:space="preserve">Batre Kecil AAA </t>
  </si>
  <si>
    <t xml:space="preserve">Batre 9 Volt </t>
  </si>
  <si>
    <t>Batre Kecil AA</t>
  </si>
  <si>
    <t>Tisu Wajah</t>
  </si>
  <si>
    <t xml:space="preserve">Sabun pembersih porslin/ Kramik/Porstek </t>
  </si>
  <si>
    <t>Service motor listrik 3x1tahun</t>
  </si>
  <si>
    <t>Service Motor Dinas 3 x 1tahun</t>
  </si>
  <si>
    <t>Service Mobil Dinas 1unit x1tahun</t>
  </si>
  <si>
    <t>Service Mobil Linmas 1unit/than</t>
  </si>
  <si>
    <t>Service Motor Linmas 2 Unit x 1th</t>
  </si>
  <si>
    <t>Tunjangan Ke 13 Anggota</t>
  </si>
  <si>
    <t>Tunjangan Ke 13 Sekretaris</t>
  </si>
  <si>
    <t>Tunjangan Ke 13 Wakil Ketua</t>
  </si>
  <si>
    <t>Tunjangan Ke 13 Ketua</t>
  </si>
  <si>
    <t>Pakaian Dinas Endek 9stel untuk BPD</t>
  </si>
  <si>
    <t xml:space="preserve">Ballpoint </t>
  </si>
  <si>
    <t>Petugas Seleksi 3orx2kl</t>
  </si>
  <si>
    <t>Ketua1or x2kl</t>
  </si>
  <si>
    <t>Sekretaris1or x 2Kl</t>
  </si>
  <si>
    <t>Anggota 3or x 2Kl</t>
  </si>
  <si>
    <t>Spanduk2bh x 2kl</t>
  </si>
  <si>
    <t>Konsumsi Kegiatan (35 or x  2 kali )</t>
  </si>
  <si>
    <t>Siltap</t>
  </si>
  <si>
    <t>Jaminan Kesehtan</t>
  </si>
  <si>
    <t>Sekdesa</t>
  </si>
  <si>
    <t>kaur kasi</t>
  </si>
  <si>
    <t>ketenaga kerjaan</t>
  </si>
  <si>
    <t>wakil</t>
  </si>
  <si>
    <t>Satuan</t>
  </si>
  <si>
    <t>Persentas</t>
  </si>
  <si>
    <t>Jaminan Ketenaga kerjaa</t>
  </si>
  <si>
    <t>Persentase</t>
  </si>
  <si>
    <t>Staf Kaur kAsi</t>
  </si>
  <si>
    <t>Siskeudes</t>
  </si>
  <si>
    <t>it</t>
  </si>
  <si>
    <t>KPM</t>
  </si>
  <si>
    <t>CS</t>
  </si>
  <si>
    <t>Silptap</t>
  </si>
  <si>
    <t>siskeudes</t>
  </si>
  <si>
    <t>staf</t>
  </si>
  <si>
    <t>Kadus</t>
  </si>
  <si>
    <t>Siltap Plus Tunjangan</t>
  </si>
  <si>
    <t>Kaur Keuangan</t>
  </si>
  <si>
    <t>Kaur/Kasi</t>
  </si>
  <si>
    <t>Kaur Perencanaan</t>
  </si>
  <si>
    <t>Kaur Umum</t>
  </si>
  <si>
    <t>Kasi Kesra</t>
  </si>
  <si>
    <t>Kasi Pelayanan</t>
  </si>
  <si>
    <t>Kasi Pem</t>
  </si>
  <si>
    <t>Jaminan Ketenaga Kerjaan Staf Kaur Kasi 9 or x 12bln</t>
  </si>
  <si>
    <t>Gula 10kg x 1tahun</t>
  </si>
  <si>
    <t>Kopi 10kg x 1thn</t>
  </si>
  <si>
    <t>Dupa 10kg x 1thn</t>
  </si>
  <si>
    <t>Beras 20kg x 1thn</t>
  </si>
  <si>
    <t>Kain Putih (15m x 1thn)</t>
  </si>
  <si>
    <t>Telor 25 btr x 1thn</t>
  </si>
  <si>
    <t>: Oprasional 3% Dana Desa</t>
  </si>
  <si>
    <t>Benlanja Oprasional Dana Desa</t>
  </si>
  <si>
    <t>Printer  PCS</t>
  </si>
  <si>
    <t>Printer  Scan Atas</t>
  </si>
  <si>
    <t>Pemeliharaan AC Lantai II Gedung Lama</t>
  </si>
  <si>
    <t>cetak Dokumen LPJ 2024</t>
  </si>
  <si>
    <t>: Pertanahan</t>
  </si>
  <si>
    <t>: Administrasi Pertanahanan (Pengkajian Aset Tanah)</t>
  </si>
  <si>
    <t>1.5.02.5.3</t>
  </si>
  <si>
    <t>Belanja Modal Pertanahan</t>
  </si>
  <si>
    <t>1.5.02.5.3.1</t>
  </si>
  <si>
    <t>1.5.02.5.3.1.04</t>
  </si>
  <si>
    <t>Belanja Modal Pematangan Tanah</t>
  </si>
  <si>
    <t>jam</t>
  </si>
  <si>
    <t xml:space="preserve">Kertas F4 75 gram  </t>
  </si>
  <si>
    <t>Kertas F4 75 gram</t>
  </si>
  <si>
    <t>Kertas F4 70 gram</t>
  </si>
  <si>
    <t xml:space="preserve">Ballpoint ex </t>
  </si>
  <si>
    <t>Kertas HVS f4 75gram</t>
  </si>
  <si>
    <t>Konsumsi (5or Petugas x 4kl)</t>
  </si>
  <si>
    <t xml:space="preserve">Kertas F4 75 </t>
  </si>
  <si>
    <t>Ballpoint</t>
  </si>
  <si>
    <t xml:space="preserve">Batre Besar </t>
  </si>
  <si>
    <t>Perawatan Mesin (10onit x 1th)</t>
  </si>
  <si>
    <t>Service L300 1unit /tahun</t>
  </si>
  <si>
    <t>Service Truk (2 unit/thn)</t>
  </si>
  <si>
    <t>Service Moci 1unit/thn</t>
  </si>
  <si>
    <t>Spare Part Truk2unit</t>
  </si>
  <si>
    <t>2.4.07.5.2.2.91</t>
  </si>
  <si>
    <t xml:space="preserve">Tipe ex Correksion </t>
  </si>
  <si>
    <t xml:space="preserve">Spidol permanen </t>
  </si>
  <si>
    <t xml:space="preserve">Spidol White Board </t>
  </si>
  <si>
    <t xml:space="preserve">Binder Clip no 111 </t>
  </si>
  <si>
    <t>uang saku peserta (40 x 4)</t>
  </si>
  <si>
    <t>Buku Novel</t>
  </si>
  <si>
    <t>Buku pertanian</t>
  </si>
  <si>
    <t>Buku Agama</t>
  </si>
  <si>
    <t>Sejarah</t>
  </si>
  <si>
    <t>Buku Resep Masakahan</t>
  </si>
  <si>
    <t>Buku Budaya Bali</t>
  </si>
  <si>
    <t>Komik</t>
  </si>
  <si>
    <t>Konsumsi Sosialisasi (110 or x  2 kali )</t>
  </si>
  <si>
    <t>Belanja Bahan Alat Material</t>
  </si>
  <si>
    <t>Pengukur tinggi badan</t>
  </si>
  <si>
    <t>Timbangan</t>
  </si>
  <si>
    <t>Alat ukur Tensi</t>
  </si>
  <si>
    <t>Pita ukur</t>
  </si>
  <si>
    <t>Alat ukur Lila</t>
  </si>
  <si>
    <t>Susu anline 200 ml  ( 13klp x 30or )x12</t>
  </si>
  <si>
    <t>Telor ( 13 klp x 30or) x 12</t>
  </si>
  <si>
    <t>Vitamin untuk Lansia 13klp x30or x1kl</t>
  </si>
  <si>
    <t>Belanja Material</t>
  </si>
  <si>
    <t>Alat Ukur Tensi</t>
  </si>
  <si>
    <t>Alat Ukur Tinggi</t>
  </si>
  <si>
    <t>on cal tes gula darah</t>
  </si>
  <si>
    <t>stik gula darah</t>
  </si>
  <si>
    <t>Stik Asam urat</t>
  </si>
  <si>
    <t>Stik kolestrol</t>
  </si>
  <si>
    <t>Alat Ukur tinggi lutut</t>
  </si>
  <si>
    <t>5or x 3klp x 12bln</t>
  </si>
  <si>
    <t>Pemberian Makanan Tambahan(30or Sasaran x3klp x12kl)</t>
  </si>
  <si>
    <t>Pengadaan Pakaian 5orx 3klp</t>
  </si>
  <si>
    <t>Honorarium kader Posyandu Remaja ( 5or x 3 kelompok x 12 bulan)</t>
  </si>
  <si>
    <t>Honor Petugas (5or x 1Klp x 12bln)</t>
  </si>
  <si>
    <t>Konsumsi Kegiatan 1klp x 5orx 12bl</t>
  </si>
  <si>
    <t>Block Note190or</t>
  </si>
  <si>
    <t>Ballpoint 190or</t>
  </si>
  <si>
    <t>Konsumsi Pelatihan (40or, 3narasumber,PPKD4or  x 4hrx4kl)</t>
  </si>
  <si>
    <t>Konsumsi Pelatihan (3or, 3narasumber,PPKD4or  x4hrx1kl)</t>
  </si>
  <si>
    <t>: Penyuluhan dan Pelatihan Bidang Kesehatan (Pembinaan Kader POSyandu terintegrasi/ILP)</t>
  </si>
  <si>
    <t>Honor Narasumber 3or x 16 Kl</t>
  </si>
  <si>
    <t>Belanja Barang yang diserahkan</t>
  </si>
  <si>
    <t>2.2.03.5.2.7.91</t>
  </si>
  <si>
    <t>belanja Uang Saku 190 x 4kl</t>
  </si>
  <si>
    <t>Pemeliharaan laptop</t>
  </si>
  <si>
    <t>Monitor Kadus</t>
  </si>
  <si>
    <t>Pengerupak</t>
  </si>
  <si>
    <t>remote Smart TV</t>
  </si>
  <si>
    <t>Pengurusan IMB</t>
  </si>
  <si>
    <t>Silpa Hadiah</t>
  </si>
  <si>
    <t>Konsumsi Rapat (35 or x  2 kali )</t>
  </si>
  <si>
    <t>Kader Posyandu Lansia 65or</t>
  </si>
  <si>
    <t>Jaminan Ketenagakerjaan Ekosistem Desa 245 x12 bln</t>
  </si>
  <si>
    <t>Belanja Pengkajian Harga Tanah (Apersial)</t>
  </si>
  <si>
    <t>Konsumsi Musyawarah Dusun 8 Dusun 1 musPerempuan x 70or</t>
  </si>
  <si>
    <t>Anggota 9 or x 3bln</t>
  </si>
  <si>
    <t>Sofa Ruang Kadus</t>
  </si>
  <si>
    <t>Honor Tagana per Kejadian  (45 or x 1 kali)</t>
  </si>
  <si>
    <t xml:space="preserve">silpap </t>
  </si>
  <si>
    <t>tunjangan</t>
  </si>
  <si>
    <t>ppkd</t>
  </si>
  <si>
    <t>jaminan kecelakan</t>
  </si>
  <si>
    <t>kematian</t>
  </si>
  <si>
    <t>kesehatan</t>
  </si>
  <si>
    <t>Konsumsi pelatih/kader 5or x 12klp x 12</t>
  </si>
  <si>
    <t>Honor Kader 5 or x 12klp x 12 kl</t>
  </si>
  <si>
    <t>Konsumsi pelatih/kader 5or x 12klp, Narasumber, PPKD</t>
  </si>
  <si>
    <t>Tim Building/Outu Bund 12klpx5or, 2or Narasumber, PPKD 3or</t>
  </si>
  <si>
    <t>Belanja Perlengkapan Aci</t>
  </si>
  <si>
    <t>Canang 10Tanding x 13 klp x12bln</t>
  </si>
  <si>
    <t>Dupa 1Bks x 13 klp x12bln</t>
  </si>
  <si>
    <t>Pin 13klp x5or</t>
  </si>
  <si>
    <t>: Pekerjaan Umum dan Penataan Ruang</t>
  </si>
  <si>
    <t>: II.27</t>
  </si>
  <si>
    <t>: Pemeliharaan Prasarana Jalan Desa (Pembersihan saluran air untuk kelancaran pertanian dan gorong-gorong (PKTD MURNI Ketahanan Pangan)</t>
  </si>
  <si>
    <t xml:space="preserve">: Panjang (261m) </t>
  </si>
  <si>
    <t>2.3.05.3.</t>
  </si>
  <si>
    <t>2.3.05.5.3.7</t>
  </si>
  <si>
    <t>2.3.05.5.3.7.02</t>
  </si>
  <si>
    <t>Belanja Upah PKTD</t>
  </si>
  <si>
    <t>Pekerja Galian dan pembersihan 21or x 10hr</t>
  </si>
  <si>
    <t>Ni Kadek Agis Dwijayanti</t>
  </si>
  <si>
    <t>Pelatih ( 2 or X 21 jam )</t>
  </si>
  <si>
    <t>Konsumsi Pelatihan 22 or x 21 kl</t>
  </si>
  <si>
    <t>JUMLAH</t>
  </si>
  <si>
    <t>Penembokan 29.7m3</t>
  </si>
  <si>
    <t>Pemeliharaan Jalan Lingkungan Permukiman Pura Dalem Laplap ( Tembok Penyengker)</t>
  </si>
  <si>
    <t>Pembangunan Tembok Penyengker Laplap</t>
  </si>
  <si>
    <t>RA1:G29ENCANA ANGGARAN BIAYA</t>
  </si>
  <si>
    <t>: Pembinaan Kemasyarakatan desa</t>
  </si>
  <si>
    <t>: Kebudayaan dan Keagamaan</t>
  </si>
  <si>
    <t>Pemeliharaan Sarana dan Prasarana Kebudayaan/ Rumah adat (Tembok Penyengker Pura Dalem Laplap )</t>
  </si>
  <si>
    <t xml:space="preserve"> 62m1</t>
  </si>
  <si>
    <t>3.2.04.5.2.2</t>
  </si>
  <si>
    <t>3.2.04.5.2.2.01</t>
  </si>
  <si>
    <t>Belanja Barang dan Jasa yang diserahkan kepada masyarakat</t>
  </si>
  <si>
    <t>Belanja bantuan bangunan untuk diserahkan kepada Masyarakat</t>
  </si>
  <si>
    <t>Batu Belah</t>
  </si>
  <si>
    <t>Pasir pasang</t>
  </si>
  <si>
    <t>Tanah urug</t>
  </si>
  <si>
    <t>Kayu Kelas 3</t>
  </si>
  <si>
    <t>Paku Biasa 5'-12'</t>
  </si>
  <si>
    <t>Pintu Besi</t>
  </si>
  <si>
    <t xml:space="preserve">Besi Beton 10 </t>
  </si>
  <si>
    <t>Besi Beton 8</t>
  </si>
  <si>
    <t>Besi Ulir 12</t>
  </si>
  <si>
    <t>Kawat</t>
  </si>
  <si>
    <t>Usuk 4/6</t>
  </si>
  <si>
    <t>Pemeliharaan Sarana dan Prasarana Kebudayaan/ Rumah adat (Pura Pengorong Desa Adat Bekul )</t>
  </si>
  <si>
    <t xml:space="preserve"> 325m2</t>
  </si>
  <si>
    <t>Paving 8'k225 Polos</t>
  </si>
  <si>
    <t>Papan Struktur Pokja</t>
  </si>
  <si>
    <t>Papan Tulis</t>
  </si>
  <si>
    <t>Siltap KPM</t>
  </si>
  <si>
    <t>SiltapTenaga Kebersihan (CS) (1or x 12Bln)</t>
  </si>
  <si>
    <t>Siltap Tenaga Kebersihan dan Tukang kebun 1 or x 12 bln</t>
  </si>
  <si>
    <t>I Made Darasana</t>
  </si>
  <si>
    <t>I Kadek Andika</t>
  </si>
  <si>
    <t>I Made Darsana</t>
  </si>
  <si>
    <t>I Made Pramiarta</t>
  </si>
  <si>
    <t>Ni Nyoman Adi Trisnawati</t>
  </si>
  <si>
    <t xml:space="preserve">Nganyarin ke Pura Batur </t>
  </si>
  <si>
    <t>Konsumsi  Rapat (30or x iKl</t>
  </si>
  <si>
    <t>Konsumsi  Kegiatan (100or x 1kl)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</si>
</sst>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&quot;Rp&quot;* #,##0.00_-;\-&quot;Rp&quot;* #,##0.00_-;_-&quot;Rp&quot;* &quot;-&quot;??_-;_-@_-"/>
    <numFmt numFmtId="166" formatCode="_-* #,##0.00_-;\-* #,##0.00_-;_-* &quot;-&quot;??_-;_-@_-"/>
    <numFmt numFmtId="167" formatCode="_(* #,##0_);_(* \(#,##0\);_(* &quot;-&quot;??_);_(@_)"/>
    <numFmt numFmtId="168" formatCode="_(* #,##0.000_);_(* \(#,##0.000\);_(* &quot;-&quot;???_);_(@_)"/>
    <numFmt numFmtId="169" formatCode="_(* #,##0.0000_);_(* \(#,##0.0000\);_(* &quot;-&quot;??_);_(@_)"/>
    <numFmt numFmtId="170" formatCode="#,##0.000"/>
    <numFmt numFmtId="171" formatCode="_(* #,##0.000_);_(* \(#,##0.000\);_(* &quot;-&quot;??_);_(@_)"/>
    <numFmt numFmtId="172" formatCode="_(* #,##0.00_);_(* \(#,##0.00\);_(* &quot;-&quot;_);_(@_)"/>
    <numFmt numFmtId="173" formatCode="_(* #,##0.0000_);_(* \(#,##0.0000\);_(* &quot;-&quot;_);_(@_)"/>
    <numFmt numFmtId="174" formatCode="_-* #,##0.00_-;\-* #,##0.00_-;_-* &quot;-&quot;_-;_-@_-"/>
    <numFmt numFmtId="175" formatCode="0.000"/>
    <numFmt numFmtId="176" formatCode="_-* #,##0.000_-;\-* #,##0.000_-;_-* &quot;-&quot;??_-;_-@_-"/>
    <numFmt numFmtId="177" formatCode="0.000000000"/>
    <numFmt numFmtId="178" formatCode="_-* #,##0_-;\-* #,##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4"/>
      <name val="Times New Roman"/>
      <family val="1"/>
    </font>
    <font>
      <sz val="9"/>
      <color indexed="10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8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Bookman Old Style"/>
      <family val="1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sz val="10"/>
      <color theme="1"/>
      <name val="Bookman Old Style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4.9989318521683403E-2"/>
      <name val="Times New Roman"/>
      <family val="1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2">
    <xf numFmtId="0" fontId="0" fillId="0" borderId="0" xfId="0"/>
    <xf numFmtId="0" fontId="0" fillId="0" borderId="2" xfId="0" applyBorder="1"/>
    <xf numFmtId="0" fontId="3" fillId="0" borderId="2" xfId="2" applyNumberFormat="1" applyFont="1" applyFill="1" applyBorder="1" applyAlignment="1">
      <alignment horizontal="center" vertical="center"/>
    </xf>
    <xf numFmtId="166" fontId="0" fillId="0" borderId="0" xfId="1" applyFont="1" applyFill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4" fontId="17" fillId="0" borderId="2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166" fontId="17" fillId="0" borderId="9" xfId="1" applyFont="1" applyBorder="1" applyAlignment="1">
      <alignment vertical="center"/>
    </xf>
    <xf numFmtId="166" fontId="17" fillId="0" borderId="2" xfId="1" applyFont="1" applyBorder="1" applyAlignment="1">
      <alignment horizontal="center" vertical="center"/>
    </xf>
    <xf numFmtId="166" fontId="17" fillId="0" borderId="2" xfId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 wrapText="1"/>
    </xf>
    <xf numFmtId="43" fontId="0" fillId="0" borderId="2" xfId="0" applyNumberFormat="1" applyBorder="1"/>
    <xf numFmtId="43" fontId="0" fillId="0" borderId="0" xfId="0" applyNumberFormat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2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5" fillId="0" borderId="0" xfId="0" applyFont="1"/>
    <xf numFmtId="166" fontId="31" fillId="0" borderId="0" xfId="1" applyFont="1" applyAlignment="1">
      <alignment vertical="center"/>
    </xf>
    <xf numFmtId="166" fontId="17" fillId="0" borderId="2" xfId="1" applyFont="1" applyBorder="1" applyAlignment="1">
      <alignment vertical="center" wrapText="1"/>
    </xf>
    <xf numFmtId="0" fontId="34" fillId="0" borderId="0" xfId="0" applyFont="1"/>
    <xf numFmtId="0" fontId="33" fillId="0" borderId="0" xfId="0" applyFont="1"/>
    <xf numFmtId="0" fontId="35" fillId="0" borderId="0" xfId="14" applyFont="1"/>
    <xf numFmtId="0" fontId="35" fillId="0" borderId="0" xfId="14" applyFont="1" applyAlignment="1">
      <alignment horizontal="center" vertical="center"/>
    </xf>
    <xf numFmtId="0" fontId="35" fillId="0" borderId="0" xfId="14" applyFont="1" applyAlignment="1">
      <alignment horizontal="left"/>
    </xf>
    <xf numFmtId="0" fontId="35" fillId="0" borderId="20" xfId="14" applyFont="1" applyBorder="1" applyAlignment="1">
      <alignment vertical="center" wrapText="1"/>
    </xf>
    <xf numFmtId="0" fontId="35" fillId="0" borderId="21" xfId="14" applyFont="1" applyBorder="1" applyAlignment="1">
      <alignment horizontal="center" vertical="center" wrapText="1"/>
    </xf>
    <xf numFmtId="0" fontId="35" fillId="0" borderId="21" xfId="14" applyFont="1" applyBorder="1" applyAlignment="1">
      <alignment vertical="center" wrapText="1"/>
    </xf>
    <xf numFmtId="0" fontId="35" fillId="0" borderId="22" xfId="14" applyFont="1" applyBorder="1" applyAlignment="1">
      <alignment horizontal="center" vertical="center" wrapText="1"/>
    </xf>
    <xf numFmtId="0" fontId="35" fillId="0" borderId="21" xfId="14" applyFont="1" applyBorder="1" applyAlignment="1">
      <alignment horizontal="right" vertical="center" wrapText="1"/>
    </xf>
    <xf numFmtId="0" fontId="35" fillId="0" borderId="23" xfId="14" applyFont="1" applyBorder="1" applyAlignment="1">
      <alignment vertical="center" wrapText="1"/>
    </xf>
    <xf numFmtId="0" fontId="35" fillId="0" borderId="23" xfId="14" applyFont="1" applyBorder="1" applyAlignment="1">
      <alignment horizontal="center" vertical="center"/>
    </xf>
    <xf numFmtId="0" fontId="35" fillId="0" borderId="23" xfId="14" applyFont="1" applyBorder="1" applyAlignment="1">
      <alignment horizontal="center" vertical="center" wrapText="1"/>
    </xf>
    <xf numFmtId="41" fontId="35" fillId="0" borderId="24" xfId="15" applyFont="1" applyBorder="1" applyAlignment="1">
      <alignment vertical="center"/>
    </xf>
    <xf numFmtId="0" fontId="0" fillId="0" borderId="25" xfId="0" applyBorder="1"/>
    <xf numFmtId="0" fontId="35" fillId="0" borderId="17" xfId="14" applyFont="1" applyBorder="1" applyAlignment="1">
      <alignment horizontal="right" vertical="center" wrapText="1"/>
    </xf>
    <xf numFmtId="0" fontId="35" fillId="0" borderId="2" xfId="14" applyFont="1" applyBorder="1" applyAlignment="1">
      <alignment vertical="center" wrapText="1"/>
    </xf>
    <xf numFmtId="0" fontId="35" fillId="0" borderId="2" xfId="14" applyFont="1" applyBorder="1" applyAlignment="1">
      <alignment horizontal="center" vertical="center"/>
    </xf>
    <xf numFmtId="0" fontId="35" fillId="0" borderId="2" xfId="14" applyFont="1" applyBorder="1" applyAlignment="1">
      <alignment horizontal="center" vertical="center" wrapText="1"/>
    </xf>
    <xf numFmtId="41" fontId="35" fillId="0" borderId="4" xfId="15" applyFont="1" applyBorder="1" applyAlignment="1">
      <alignment vertical="center"/>
    </xf>
    <xf numFmtId="0" fontId="0" fillId="0" borderId="27" xfId="0" applyBorder="1"/>
    <xf numFmtId="0" fontId="35" fillId="0" borderId="17" xfId="14" applyFont="1" applyBorder="1" applyAlignment="1">
      <alignment horizontal="right" wrapText="1"/>
    </xf>
    <xf numFmtId="0" fontId="35" fillId="0" borderId="5" xfId="14" applyFont="1" applyBorder="1" applyAlignment="1">
      <alignment horizontal="left" vertical="center" wrapText="1"/>
    </xf>
    <xf numFmtId="0" fontId="35" fillId="0" borderId="2" xfId="14" applyFont="1" applyBorder="1" applyAlignment="1">
      <alignment horizontal="left" vertical="center" wrapText="1"/>
    </xf>
    <xf numFmtId="0" fontId="35" fillId="0" borderId="2" xfId="14" applyFont="1" applyBorder="1" applyAlignment="1">
      <alignment horizontal="right" vertical="center"/>
    </xf>
    <xf numFmtId="0" fontId="35" fillId="0" borderId="7" xfId="14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166" fontId="35" fillId="0" borderId="2" xfId="1" applyFont="1" applyBorder="1" applyAlignment="1">
      <alignment vertical="center" wrapText="1"/>
    </xf>
    <xf numFmtId="41" fontId="35" fillId="0" borderId="27" xfId="15" applyFont="1" applyBorder="1" applyAlignment="1">
      <alignment vertical="center"/>
    </xf>
    <xf numFmtId="0" fontId="35" fillId="0" borderId="33" xfId="14" applyFont="1" applyBorder="1" applyAlignment="1">
      <alignment horizontal="right" vertical="center"/>
    </xf>
    <xf numFmtId="0" fontId="35" fillId="0" borderId="7" xfId="14" applyFont="1" applyBorder="1" applyAlignment="1">
      <alignment horizontal="right" vertical="center"/>
    </xf>
    <xf numFmtId="41" fontId="35" fillId="0" borderId="4" xfId="15" applyFont="1" applyBorder="1" applyAlignment="1">
      <alignment horizontal="center" vertical="center"/>
    </xf>
    <xf numFmtId="41" fontId="35" fillId="0" borderId="18" xfId="14" applyNumberFormat="1" applyFont="1" applyBorder="1" applyAlignment="1">
      <alignment vertical="center"/>
    </xf>
    <xf numFmtId="0" fontId="0" fillId="0" borderId="37" xfId="0" applyBorder="1"/>
    <xf numFmtId="0" fontId="35" fillId="0" borderId="0" xfId="14" applyFont="1" applyAlignment="1">
      <alignment horizontal="right" vertical="center"/>
    </xf>
    <xf numFmtId="41" fontId="35" fillId="0" borderId="0" xfId="14" applyNumberFormat="1" applyFont="1" applyAlignment="1">
      <alignment vertical="center"/>
    </xf>
    <xf numFmtId="0" fontId="31" fillId="0" borderId="0" xfId="0" applyFont="1" applyAlignment="1">
      <alignment horizontal="left"/>
    </xf>
    <xf numFmtId="43" fontId="17" fillId="0" borderId="2" xfId="0" applyNumberFormat="1" applyFont="1" applyBorder="1" applyAlignment="1">
      <alignment horizontal="left" vertical="center" wrapText="1"/>
    </xf>
    <xf numFmtId="166" fontId="0" fillId="0" borderId="0" xfId="1" applyFont="1"/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66" fontId="31" fillId="0" borderId="0" xfId="1" applyFont="1"/>
    <xf numFmtId="166" fontId="33" fillId="0" borderId="2" xfId="1" applyFont="1" applyBorder="1" applyAlignment="1">
      <alignment horizontal="center" vertical="center"/>
    </xf>
    <xf numFmtId="166" fontId="31" fillId="0" borderId="2" xfId="1" applyFont="1" applyBorder="1" applyAlignment="1">
      <alignment horizontal="center"/>
    </xf>
    <xf numFmtId="166" fontId="0" fillId="0" borderId="2" xfId="1" applyFont="1" applyBorder="1"/>
    <xf numFmtId="0" fontId="18" fillId="3" borderId="2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5" fillId="0" borderId="9" xfId="0" applyFont="1" applyBorder="1" applyAlignment="1">
      <alignment vertical="top" wrapText="1"/>
    </xf>
    <xf numFmtId="43" fontId="0" fillId="0" borderId="2" xfId="0" applyNumberFormat="1" applyBorder="1" applyAlignment="1">
      <alignment horizontal="left" vertical="center" wrapText="1"/>
    </xf>
    <xf numFmtId="167" fontId="0" fillId="0" borderId="2" xfId="1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vertical="top" wrapText="1"/>
    </xf>
    <xf numFmtId="0" fontId="0" fillId="0" borderId="17" xfId="0" applyBorder="1"/>
    <xf numFmtId="0" fontId="0" fillId="0" borderId="2" xfId="0" applyBorder="1" applyAlignment="1">
      <alignment horizontal="left" vertical="center" wrapText="1"/>
    </xf>
    <xf numFmtId="167" fontId="0" fillId="0" borderId="2" xfId="1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top" wrapText="1"/>
    </xf>
    <xf numFmtId="4" fontId="0" fillId="0" borderId="2" xfId="0" applyNumberFormat="1" applyBorder="1" applyAlignment="1">
      <alignment horizontal="left" vertical="center" wrapText="1"/>
    </xf>
    <xf numFmtId="0" fontId="25" fillId="0" borderId="17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166" fontId="32" fillId="0" borderId="17" xfId="1" applyFont="1" applyFill="1" applyBorder="1" applyAlignment="1">
      <alignment horizontal="center"/>
    </xf>
    <xf numFmtId="0" fontId="0" fillId="4" borderId="0" xfId="0" applyFill="1"/>
    <xf numFmtId="4" fontId="0" fillId="0" borderId="2" xfId="0" applyNumberFormat="1" applyBorder="1" applyAlignment="1">
      <alignment wrapText="1"/>
    </xf>
    <xf numFmtId="166" fontId="0" fillId="0" borderId="2" xfId="1" applyFont="1" applyFill="1" applyBorder="1"/>
    <xf numFmtId="4" fontId="0" fillId="0" borderId="2" xfId="0" applyNumberFormat="1" applyBorder="1" applyAlignment="1">
      <alignment vertical="center" wrapText="1"/>
    </xf>
    <xf numFmtId="166" fontId="31" fillId="0" borderId="0" xfId="1" applyFont="1" applyFill="1"/>
    <xf numFmtId="166" fontId="25" fillId="0" borderId="0" xfId="1" applyFont="1" applyFill="1"/>
    <xf numFmtId="4" fontId="31" fillId="0" borderId="0" xfId="0" applyNumberFormat="1" applyFont="1"/>
    <xf numFmtId="166" fontId="38" fillId="0" borderId="0" xfId="1" applyFont="1" applyFill="1"/>
    <xf numFmtId="166" fontId="39" fillId="0" borderId="0" xfId="1" applyFont="1" applyFill="1"/>
    <xf numFmtId="0" fontId="17" fillId="2" borderId="2" xfId="0" applyFont="1" applyFill="1" applyBorder="1" applyAlignment="1">
      <alignment horizontal="left" vertical="center" wrapText="1"/>
    </xf>
    <xf numFmtId="166" fontId="31" fillId="0" borderId="0" xfId="1" applyFont="1" applyAlignment="1">
      <alignment horizontal="center"/>
    </xf>
    <xf numFmtId="166" fontId="0" fillId="0" borderId="2" xfId="1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33" fillId="0" borderId="2" xfId="1" applyFont="1" applyBorder="1" applyAlignment="1">
      <alignment horizontal="center"/>
    </xf>
    <xf numFmtId="166" fontId="17" fillId="0" borderId="2" xfId="1" applyFont="1" applyBorder="1" applyAlignment="1">
      <alignment horizontal="center"/>
    </xf>
    <xf numFmtId="166" fontId="17" fillId="0" borderId="9" xfId="1" applyFont="1" applyBorder="1" applyAlignment="1">
      <alignment horizontal="center"/>
    </xf>
    <xf numFmtId="166" fontId="0" fillId="0" borderId="2" xfId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top" wrapText="1"/>
    </xf>
    <xf numFmtId="166" fontId="32" fillId="0" borderId="2" xfId="1" applyFont="1" applyBorder="1" applyAlignment="1">
      <alignment horizontal="center"/>
    </xf>
    <xf numFmtId="166" fontId="32" fillId="0" borderId="2" xfId="1" applyFont="1" applyBorder="1" applyAlignment="1">
      <alignment horizontal="center" vertical="center" wrapText="1"/>
    </xf>
    <xf numFmtId="166" fontId="40" fillId="0" borderId="0" xfId="1" applyFont="1"/>
    <xf numFmtId="166" fontId="31" fillId="0" borderId="2" xfId="1" applyFont="1" applyFill="1" applyBorder="1" applyAlignment="1">
      <alignment horizontal="center" vertical="center"/>
    </xf>
    <xf numFmtId="166" fontId="0" fillId="0" borderId="0" xfId="1" applyFont="1" applyFill="1" applyAlignment="1">
      <alignment horizontal="center" vertical="center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4" fontId="0" fillId="0" borderId="2" xfId="0" applyNumberFormat="1" applyBorder="1"/>
    <xf numFmtId="166" fontId="0" fillId="0" borderId="2" xfId="1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wrapText="1"/>
    </xf>
    <xf numFmtId="166" fontId="0" fillId="0" borderId="2" xfId="1" applyFont="1" applyBorder="1" applyAlignment="1">
      <alignment wrapText="1"/>
    </xf>
    <xf numFmtId="166" fontId="0" fillId="0" borderId="3" xfId="1" applyFont="1" applyBorder="1"/>
    <xf numFmtId="166" fontId="25" fillId="0" borderId="22" xfId="1" applyFont="1" applyBorder="1"/>
    <xf numFmtId="0" fontId="0" fillId="0" borderId="3" xfId="0" applyBorder="1" applyAlignment="1">
      <alignment horizontal="center" vertical="center"/>
    </xf>
    <xf numFmtId="166" fontId="25" fillId="0" borderId="39" xfId="1" applyFont="1" applyBorder="1"/>
    <xf numFmtId="166" fontId="15" fillId="0" borderId="2" xfId="1" applyFont="1" applyFill="1" applyBorder="1" applyAlignment="1">
      <alignment horizontal="center" vertical="center" wrapText="1"/>
    </xf>
    <xf numFmtId="166" fontId="15" fillId="0" borderId="2" xfId="1" applyFont="1" applyFill="1" applyBorder="1" applyAlignment="1">
      <alignment horizontal="left" vertical="center" wrapText="1"/>
    </xf>
    <xf numFmtId="166" fontId="3" fillId="0" borderId="4" xfId="1" applyFont="1" applyFill="1" applyBorder="1" applyAlignment="1">
      <alignment horizontal="center" vertical="center"/>
    </xf>
    <xf numFmtId="166" fontId="3" fillId="0" borderId="7" xfId="1" applyFont="1" applyFill="1" applyBorder="1" applyAlignment="1">
      <alignment horizontal="center" vertical="center"/>
    </xf>
    <xf numFmtId="166" fontId="3" fillId="0" borderId="2" xfId="1" applyFont="1" applyFill="1" applyBorder="1" applyAlignment="1">
      <alignment horizontal="left" vertical="center"/>
    </xf>
    <xf numFmtId="166" fontId="3" fillId="0" borderId="4" xfId="1" applyFont="1" applyFill="1" applyBorder="1" applyAlignment="1">
      <alignment horizontal="left" vertical="center"/>
    </xf>
    <xf numFmtId="166" fontId="3" fillId="0" borderId="2" xfId="1" applyFont="1" applyFill="1" applyBorder="1" applyAlignment="1">
      <alignment horizontal="left" vertical="center" wrapText="1"/>
    </xf>
    <xf numFmtId="166" fontId="3" fillId="0" borderId="9" xfId="1" applyFont="1" applyFill="1" applyBorder="1" applyAlignment="1">
      <alignment horizontal="left" vertical="center" wrapText="1"/>
    </xf>
    <xf numFmtId="166" fontId="3" fillId="0" borderId="11" xfId="1" applyFont="1" applyFill="1" applyBorder="1" applyAlignment="1">
      <alignment horizontal="center" vertical="center"/>
    </xf>
    <xf numFmtId="166" fontId="3" fillId="0" borderId="9" xfId="1" applyFont="1" applyFill="1" applyBorder="1" applyAlignment="1">
      <alignment horizontal="left" vertical="center"/>
    </xf>
    <xf numFmtId="166" fontId="3" fillId="0" borderId="10" xfId="1" applyFont="1" applyFill="1" applyBorder="1" applyAlignment="1">
      <alignment horizontal="left" vertical="center"/>
    </xf>
    <xf numFmtId="166" fontId="3" fillId="0" borderId="41" xfId="1" applyFont="1" applyFill="1" applyBorder="1" applyAlignment="1">
      <alignment horizontal="left" vertical="center"/>
    </xf>
    <xf numFmtId="166" fontId="3" fillId="0" borderId="6" xfId="1" applyFont="1" applyFill="1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4" xfId="0" applyBorder="1" applyAlignment="1">
      <alignment horizontal="center"/>
    </xf>
    <xf numFmtId="9" fontId="17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/>
    <xf numFmtId="166" fontId="0" fillId="0" borderId="3" xfId="1" applyFont="1" applyFill="1" applyBorder="1"/>
    <xf numFmtId="166" fontId="3" fillId="0" borderId="9" xfId="1" applyFont="1" applyFill="1" applyBorder="1" applyAlignment="1">
      <alignment horizontal="center" vertical="center"/>
    </xf>
    <xf numFmtId="166" fontId="3" fillId="0" borderId="2" xfId="1" applyFont="1" applyFill="1" applyBorder="1" applyAlignment="1">
      <alignment horizontal="center" vertical="center"/>
    </xf>
    <xf numFmtId="166" fontId="3" fillId="0" borderId="44" xfId="1" applyFont="1" applyFill="1" applyBorder="1" applyAlignment="1">
      <alignment horizontal="left" vertical="center"/>
    </xf>
    <xf numFmtId="43" fontId="51" fillId="0" borderId="2" xfId="6" applyFont="1" applyFill="1" applyBorder="1" applyAlignment="1">
      <alignment horizontal="left" vertical="justify"/>
    </xf>
    <xf numFmtId="166" fontId="3" fillId="0" borderId="3" xfId="1" applyFont="1" applyFill="1" applyBorder="1" applyAlignment="1">
      <alignment horizontal="center" vertical="center"/>
    </xf>
    <xf numFmtId="169" fontId="51" fillId="0" borderId="50" xfId="6" applyNumberFormat="1" applyFont="1" applyFill="1" applyBorder="1" applyAlignment="1">
      <alignment horizontal="left" vertical="top"/>
    </xf>
    <xf numFmtId="169" fontId="51" fillId="0" borderId="50" xfId="7" applyNumberFormat="1" applyFont="1" applyFill="1" applyBorder="1" applyAlignment="1">
      <alignment horizontal="center" vertical="center"/>
    </xf>
    <xf numFmtId="169" fontId="51" fillId="0" borderId="50" xfId="7" applyNumberFormat="1" applyFont="1" applyFill="1" applyBorder="1" applyAlignment="1">
      <alignment horizontal="left" vertical="top"/>
    </xf>
    <xf numFmtId="166" fontId="3" fillId="0" borderId="15" xfId="1" applyFont="1" applyFill="1" applyBorder="1" applyAlignment="1">
      <alignment horizontal="left" vertical="center"/>
    </xf>
    <xf numFmtId="4" fontId="17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2" applyFont="1" applyFill="1"/>
    <xf numFmtId="43" fontId="3" fillId="0" borderId="0" xfId="2" applyFont="1" applyFill="1" applyAlignment="1"/>
    <xf numFmtId="0" fontId="3" fillId="0" borderId="0" xfId="0" applyFont="1" applyAlignment="1">
      <alignment horizontal="left" vertical="center"/>
    </xf>
    <xf numFmtId="166" fontId="3" fillId="0" borderId="0" xfId="1" applyFont="1" applyFill="1" applyAlignment="1">
      <alignment vertical="center"/>
    </xf>
    <xf numFmtId="43" fontId="5" fillId="0" borderId="0" xfId="2" applyFont="1" applyFill="1" applyAlignment="1"/>
    <xf numFmtId="166" fontId="3" fillId="0" borderId="0" xfId="1" applyFont="1" applyFill="1" applyAlignment="1">
      <alignment vertical="top"/>
    </xf>
    <xf numFmtId="43" fontId="3" fillId="0" borderId="0" xfId="2" applyFont="1" applyFill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4" fontId="3" fillId="0" borderId="2" xfId="0" applyNumberFormat="1" applyFont="1" applyBorder="1"/>
    <xf numFmtId="4" fontId="3" fillId="0" borderId="4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43" fontId="6" fillId="0" borderId="0" xfId="2" applyFont="1" applyFill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166" fontId="3" fillId="0" borderId="0" xfId="1" applyFont="1" applyFill="1"/>
    <xf numFmtId="43" fontId="3" fillId="0" borderId="0" xfId="0" applyNumberFormat="1" applyFont="1"/>
    <xf numFmtId="0" fontId="3" fillId="0" borderId="2" xfId="0" applyFont="1" applyBorder="1" applyAlignment="1">
      <alignment vertical="center"/>
    </xf>
    <xf numFmtId="166" fontId="3" fillId="0" borderId="2" xfId="1" applyFont="1" applyFill="1" applyBorder="1"/>
    <xf numFmtId="43" fontId="3" fillId="0" borderId="2" xfId="2" applyFont="1" applyFill="1" applyBorder="1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" fontId="3" fillId="0" borderId="7" xfId="0" applyNumberFormat="1" applyFont="1" applyBorder="1"/>
    <xf numFmtId="0" fontId="3" fillId="0" borderId="2" xfId="0" applyFont="1" applyBorder="1" applyAlignment="1">
      <alignment horizontal="left" vertical="center" wrapText="1"/>
    </xf>
    <xf numFmtId="43" fontId="3" fillId="0" borderId="2" xfId="2" applyFont="1" applyFill="1" applyBorder="1" applyAlignment="1">
      <alignment horizontal="center"/>
    </xf>
    <xf numFmtId="0" fontId="3" fillId="0" borderId="2" xfId="3" applyFont="1" applyBorder="1" applyAlignment="1">
      <alignment horizontal="left" vertical="center" wrapText="1"/>
    </xf>
    <xf numFmtId="43" fontId="3" fillId="0" borderId="7" xfId="2" applyFont="1" applyFill="1" applyBorder="1"/>
    <xf numFmtId="0" fontId="12" fillId="0" borderId="2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43" fontId="3" fillId="0" borderId="7" xfId="2" applyFont="1" applyFill="1" applyBorder="1" applyAlignment="1">
      <alignment horizontal="center"/>
    </xf>
    <xf numFmtId="4" fontId="3" fillId="0" borderId="7" xfId="3" applyNumberFormat="1" applyFont="1" applyBorder="1" applyAlignment="1">
      <alignment horizontal="right" vertical="center" wrapText="1"/>
    </xf>
    <xf numFmtId="43" fontId="3" fillId="0" borderId="7" xfId="2" applyFont="1" applyFill="1" applyBorder="1" applyAlignment="1">
      <alignment vertical="center"/>
    </xf>
    <xf numFmtId="0" fontId="3" fillId="0" borderId="2" xfId="0" quotePrefix="1" applyFont="1" applyBorder="1" applyAlignment="1">
      <alignment wrapText="1"/>
    </xf>
    <xf numFmtId="0" fontId="3" fillId="0" borderId="7" xfId="0" applyFont="1" applyBorder="1"/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43" fontId="3" fillId="0" borderId="2" xfId="2" applyFont="1" applyFill="1" applyBorder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43" fontId="3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3" fontId="3" fillId="0" borderId="2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/>
    <xf numFmtId="0" fontId="8" fillId="0" borderId="2" xfId="0" applyFont="1" applyBorder="1" applyAlignment="1">
      <alignment wrapText="1"/>
    </xf>
    <xf numFmtId="0" fontId="8" fillId="0" borderId="4" xfId="0" applyFont="1" applyBorder="1"/>
    <xf numFmtId="0" fontId="8" fillId="0" borderId="7" xfId="0" applyFont="1" applyBorder="1" applyAlignment="1">
      <alignment horizontal="center"/>
    </xf>
    <xf numFmtId="43" fontId="8" fillId="0" borderId="2" xfId="2" applyFont="1" applyFill="1" applyBorder="1"/>
    <xf numFmtId="43" fontId="8" fillId="0" borderId="2" xfId="2" applyFont="1" applyFill="1" applyBorder="1" applyAlignment="1"/>
    <xf numFmtId="0" fontId="8" fillId="0" borderId="2" xfId="0" applyFont="1" applyBorder="1"/>
    <xf numFmtId="0" fontId="8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8" fillId="0" borderId="3" xfId="0" applyFont="1" applyBorder="1"/>
    <xf numFmtId="0" fontId="8" fillId="0" borderId="2" xfId="0" quotePrefix="1" applyFont="1" applyBorder="1"/>
    <xf numFmtId="0" fontId="8" fillId="0" borderId="2" xfId="0" applyFont="1" applyBorder="1" applyAlignment="1">
      <alignment horizontal="left" wrapText="1"/>
    </xf>
    <xf numFmtId="43" fontId="8" fillId="0" borderId="2" xfId="0" applyNumberFormat="1" applyFont="1" applyBorder="1"/>
    <xf numFmtId="43" fontId="8" fillId="0" borderId="2" xfId="2" applyFont="1" applyFill="1" applyBorder="1" applyAlignment="1">
      <alignment horizontal="center" vertical="center"/>
    </xf>
    <xf numFmtId="43" fontId="8" fillId="0" borderId="2" xfId="2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166" fontId="8" fillId="0" borderId="9" xfId="1" applyFont="1" applyFill="1" applyBorder="1"/>
    <xf numFmtId="43" fontId="8" fillId="0" borderId="10" xfId="0" applyNumberFormat="1" applyFont="1" applyBorder="1"/>
    <xf numFmtId="0" fontId="10" fillId="0" borderId="2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41" fillId="0" borderId="0" xfId="0" applyFont="1"/>
    <xf numFmtId="166" fontId="7" fillId="0" borderId="0" xfId="1" applyFont="1" applyFill="1"/>
    <xf numFmtId="0" fontId="4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3" fontId="6" fillId="0" borderId="0" xfId="2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6" fontId="6" fillId="0" borderId="0" xfId="1" applyFont="1" applyFill="1"/>
    <xf numFmtId="0" fontId="6" fillId="0" borderId="0" xfId="0" applyFont="1" applyAlignment="1">
      <alignment horizontal="left" vertical="center"/>
    </xf>
    <xf numFmtId="166" fontId="6" fillId="0" borderId="0" xfId="1" applyFont="1" applyFill="1" applyAlignment="1">
      <alignment vertical="top"/>
    </xf>
    <xf numFmtId="43" fontId="6" fillId="0" borderId="0" xfId="2" applyFont="1" applyFill="1" applyAlignment="1">
      <alignment vertical="top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3" fontId="6" fillId="0" borderId="2" xfId="2" applyFont="1" applyFill="1" applyBorder="1" applyAlignment="1">
      <alignment horizontal="center" vertical="center"/>
    </xf>
    <xf numFmtId="43" fontId="6" fillId="0" borderId="2" xfId="2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6" fillId="0" borderId="4" xfId="0" applyFont="1" applyBorder="1"/>
    <xf numFmtId="43" fontId="6" fillId="0" borderId="2" xfId="2" applyFont="1" applyFill="1" applyBorder="1"/>
    <xf numFmtId="43" fontId="6" fillId="0" borderId="2" xfId="2" applyFont="1" applyFill="1" applyBorder="1" applyAlignment="1"/>
    <xf numFmtId="0" fontId="6" fillId="0" borderId="4" xfId="0" applyFont="1" applyBorder="1" applyAlignment="1">
      <alignment vertical="center"/>
    </xf>
    <xf numFmtId="4" fontId="6" fillId="0" borderId="2" xfId="0" applyNumberFormat="1" applyFont="1" applyBorder="1"/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2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/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4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2" fillId="0" borderId="2" xfId="0" quotePrefix="1" applyFont="1" applyBorder="1" applyAlignment="1">
      <alignment wrapText="1"/>
    </xf>
    <xf numFmtId="0" fontId="6" fillId="0" borderId="2" xfId="0" quotePrefix="1" applyFont="1" applyBorder="1"/>
    <xf numFmtId="4" fontId="6" fillId="0" borderId="2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0" fontId="42" fillId="0" borderId="2" xfId="0" quotePrefix="1" applyFont="1" applyBorder="1"/>
    <xf numFmtId="0" fontId="42" fillId="0" borderId="2" xfId="0" applyFont="1" applyBorder="1" applyAlignment="1">
      <alignment wrapText="1"/>
    </xf>
    <xf numFmtId="0" fontId="27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quotePrefix="1" applyFont="1" applyBorder="1" applyAlignment="1">
      <alignment wrapText="1"/>
    </xf>
    <xf numFmtId="0" fontId="3" fillId="0" borderId="2" xfId="0" quotePrefix="1" applyFont="1" applyBorder="1"/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166" fontId="3" fillId="0" borderId="9" xfId="1" applyFont="1" applyFill="1" applyBorder="1"/>
    <xf numFmtId="43" fontId="3" fillId="0" borderId="10" xfId="0" applyNumberFormat="1" applyFont="1" applyBorder="1"/>
    <xf numFmtId="43" fontId="3" fillId="0" borderId="2" xfId="0" applyNumberFormat="1" applyFont="1" applyBorder="1"/>
    <xf numFmtId="0" fontId="2" fillId="0" borderId="2" xfId="0" applyFont="1" applyBorder="1" applyAlignment="1">
      <alignment wrapText="1"/>
    </xf>
    <xf numFmtId="43" fontId="3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center"/>
    </xf>
    <xf numFmtId="43" fontId="3" fillId="0" borderId="3" xfId="2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43" fontId="3" fillId="0" borderId="2" xfId="2" applyFont="1" applyFill="1" applyBorder="1" applyAlignment="1">
      <alignment wrapText="1"/>
    </xf>
    <xf numFmtId="2" fontId="3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43" fontId="2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166" fontId="8" fillId="0" borderId="0" xfId="1" applyFont="1" applyFill="1" applyAlignment="1">
      <alignment vertical="center"/>
    </xf>
    <xf numFmtId="43" fontId="3" fillId="0" borderId="4" xfId="2" applyFont="1" applyFill="1" applyBorder="1" applyAlignment="1">
      <alignment horizontal="center"/>
    </xf>
    <xf numFmtId="0" fontId="16" fillId="0" borderId="12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3" fontId="2" fillId="0" borderId="9" xfId="2" applyFont="1" applyFill="1" applyBorder="1"/>
    <xf numFmtId="43" fontId="2" fillId="0" borderId="9" xfId="0" applyNumberFormat="1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2" xfId="2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4" fontId="3" fillId="0" borderId="9" xfId="0" applyNumberFormat="1" applyFont="1" applyBorder="1"/>
    <xf numFmtId="43" fontId="3" fillId="0" borderId="4" xfId="2" applyFont="1" applyFill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6" fontId="2" fillId="0" borderId="0" xfId="1" applyFont="1" applyFill="1"/>
    <xf numFmtId="0" fontId="14" fillId="0" borderId="4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left" wrapText="1"/>
    </xf>
    <xf numFmtId="166" fontId="3" fillId="0" borderId="2" xfId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2" xfId="3" applyNumberFormat="1" applyFont="1" applyBorder="1" applyAlignment="1">
      <alignment horizontal="right" vertical="center" wrapText="1"/>
    </xf>
    <xf numFmtId="4" fontId="3" fillId="0" borderId="2" xfId="2" applyNumberFormat="1" applyFont="1" applyFill="1" applyBorder="1"/>
    <xf numFmtId="166" fontId="3" fillId="0" borderId="2" xfId="1" applyFont="1" applyFill="1" applyBorder="1" applyAlignment="1">
      <alignment wrapText="1"/>
    </xf>
    <xf numFmtId="166" fontId="3" fillId="0" borderId="2" xfId="0" applyNumberFormat="1" applyFont="1" applyBorder="1" applyAlignment="1">
      <alignment wrapText="1"/>
    </xf>
    <xf numFmtId="0" fontId="12" fillId="0" borderId="0" xfId="0" applyFont="1"/>
    <xf numFmtId="166" fontId="3" fillId="0" borderId="0" xfId="1" applyFont="1" applyFill="1" applyAlignment="1">
      <alignment horizontal="left"/>
    </xf>
    <xf numFmtId="166" fontId="3" fillId="0" borderId="2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43" fontId="3" fillId="0" borderId="4" xfId="0" applyNumberFormat="1" applyFont="1" applyBorder="1"/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43" fontId="15" fillId="0" borderId="2" xfId="0" applyNumberFormat="1" applyFont="1" applyBorder="1"/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43" fontId="12" fillId="0" borderId="0" xfId="0" applyNumberFormat="1" applyFont="1"/>
    <xf numFmtId="0" fontId="12" fillId="0" borderId="0" xfId="0" applyFont="1" applyAlignment="1">
      <alignment wrapText="1"/>
    </xf>
    <xf numFmtId="166" fontId="3" fillId="0" borderId="0" xfId="10" applyFont="1" applyFill="1"/>
    <xf numFmtId="166" fontId="3" fillId="0" borderId="0" xfId="10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6" fontId="2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166" fontId="2" fillId="0" borderId="2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/>
    <xf numFmtId="43" fontId="2" fillId="0" borderId="2" xfId="0" applyNumberFormat="1" applyFont="1" applyBorder="1" applyAlignment="1">
      <alignment horizontal="center"/>
    </xf>
    <xf numFmtId="166" fontId="2" fillId="0" borderId="0" xfId="1" applyFont="1" applyFill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166" fontId="12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7" xfId="0" applyFont="1" applyBorder="1" applyAlignment="1">
      <alignment horizontal="left"/>
    </xf>
    <xf numFmtId="166" fontId="12" fillId="0" borderId="2" xfId="1" applyFont="1" applyFill="1" applyBorder="1"/>
    <xf numFmtId="43" fontId="12" fillId="0" borderId="2" xfId="0" applyNumberFormat="1" applyFont="1" applyBorder="1"/>
    <xf numFmtId="43" fontId="3" fillId="0" borderId="0" xfId="2" applyFont="1" applyFill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3" xfId="0" applyNumberFormat="1" applyFont="1" applyBorder="1"/>
    <xf numFmtId="166" fontId="2" fillId="0" borderId="3" xfId="1" applyFont="1" applyFill="1" applyBorder="1" applyAlignment="1">
      <alignment horizontal="center" vertical="center"/>
    </xf>
    <xf numFmtId="166" fontId="2" fillId="0" borderId="2" xfId="1" applyFont="1" applyFill="1" applyBorder="1"/>
    <xf numFmtId="14" fontId="3" fillId="0" borderId="0" xfId="1" applyNumberFormat="1" applyFont="1" applyFill="1"/>
    <xf numFmtId="0" fontId="2" fillId="0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3" fontId="2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3" fontId="3" fillId="0" borderId="2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7" xfId="0" applyFont="1" applyBorder="1"/>
    <xf numFmtId="165" fontId="12" fillId="0" borderId="2" xfId="0" applyNumberFormat="1" applyFont="1" applyBorder="1"/>
    <xf numFmtId="0" fontId="2" fillId="0" borderId="0" xfId="0" applyFont="1" applyAlignment="1">
      <alignment horizontal="left" vertical="top" wrapText="1"/>
    </xf>
    <xf numFmtId="43" fontId="3" fillId="0" borderId="0" xfId="12" applyFont="1" applyFill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wrapText="1"/>
    </xf>
    <xf numFmtId="0" fontId="2" fillId="0" borderId="3" xfId="0" applyFont="1" applyBorder="1"/>
    <xf numFmtId="0" fontId="3" fillId="0" borderId="8" xfId="0" applyFont="1" applyBorder="1" applyAlignment="1">
      <alignment horizontal="left"/>
    </xf>
    <xf numFmtId="43" fontId="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7" xfId="0" applyFont="1" applyBorder="1" applyAlignment="1">
      <alignment wrapText="1"/>
    </xf>
    <xf numFmtId="166" fontId="12" fillId="0" borderId="2" xfId="1" applyFont="1" applyFill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43" fontId="12" fillId="0" borderId="4" xfId="0" applyNumberFormat="1" applyFont="1" applyBorder="1"/>
    <xf numFmtId="0" fontId="12" fillId="0" borderId="11" xfId="0" applyFont="1" applyBorder="1" applyAlignment="1">
      <alignment wrapText="1"/>
    </xf>
    <xf numFmtId="0" fontId="12" fillId="0" borderId="10" xfId="0" applyFont="1" applyBorder="1"/>
    <xf numFmtId="0" fontId="12" fillId="0" borderId="11" xfId="0" applyFont="1" applyBorder="1" applyAlignment="1">
      <alignment horizontal="left"/>
    </xf>
    <xf numFmtId="166" fontId="12" fillId="0" borderId="9" xfId="1" applyFont="1" applyFill="1" applyBorder="1"/>
    <xf numFmtId="43" fontId="12" fillId="0" borderId="10" xfId="0" applyNumberFormat="1" applyFont="1" applyBorder="1"/>
    <xf numFmtId="166" fontId="12" fillId="0" borderId="2" xfId="10" applyFont="1" applyFill="1" applyBorder="1" applyAlignment="1">
      <alignment horizontal="center" vertical="center" wrapText="1"/>
    </xf>
    <xf numFmtId="0" fontId="12" fillId="0" borderId="2" xfId="1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166" fontId="2" fillId="0" borderId="2" xfId="1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166" fontId="3" fillId="0" borderId="0" xfId="17" applyFont="1" applyFill="1"/>
    <xf numFmtId="0" fontId="2" fillId="0" borderId="0" xfId="0" applyFont="1" applyAlignment="1">
      <alignment vertical="top" wrapText="1"/>
    </xf>
    <xf numFmtId="166" fontId="3" fillId="0" borderId="0" xfId="17" applyFont="1" applyFill="1" applyAlignment="1">
      <alignment vertical="center"/>
    </xf>
    <xf numFmtId="14" fontId="2" fillId="0" borderId="0" xfId="0" applyNumberFormat="1" applyFont="1"/>
    <xf numFmtId="0" fontId="15" fillId="0" borderId="2" xfId="0" applyFont="1" applyBorder="1" applyAlignment="1">
      <alignment vertical="center" wrapText="1"/>
    </xf>
    <xf numFmtId="166" fontId="3" fillId="0" borderId="4" xfId="17" applyFont="1" applyFill="1" applyBorder="1"/>
    <xf numFmtId="0" fontId="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wrapText="1"/>
    </xf>
    <xf numFmtId="166" fontId="3" fillId="0" borderId="7" xfId="17" applyFont="1" applyFill="1" applyBorder="1"/>
    <xf numFmtId="0" fontId="15" fillId="0" borderId="4" xfId="0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wrapText="1"/>
    </xf>
    <xf numFmtId="43" fontId="22" fillId="0" borderId="2" xfId="0" applyNumberFormat="1" applyFont="1" applyBorder="1" applyAlignment="1">
      <alignment wrapText="1"/>
    </xf>
    <xf numFmtId="0" fontId="3" fillId="0" borderId="11" xfId="0" applyFont="1" applyBorder="1"/>
    <xf numFmtId="43" fontId="3" fillId="0" borderId="2" xfId="12" applyFont="1" applyFill="1" applyBorder="1" applyAlignment="1">
      <alignment horizontal="center" vertical="center" wrapText="1"/>
    </xf>
    <xf numFmtId="0" fontId="3" fillId="0" borderId="2" xfId="1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3" xfId="0" applyFont="1" applyBorder="1"/>
    <xf numFmtId="0" fontId="12" fillId="0" borderId="3" xfId="0" applyFont="1" applyBorder="1"/>
    <xf numFmtId="0" fontId="15" fillId="0" borderId="4" xfId="0" applyFont="1" applyBorder="1"/>
    <xf numFmtId="0" fontId="15" fillId="0" borderId="7" xfId="0" applyFont="1" applyBorder="1"/>
    <xf numFmtId="166" fontId="15" fillId="0" borderId="4" xfId="1" applyFont="1" applyFill="1" applyBorder="1"/>
    <xf numFmtId="166" fontId="12" fillId="0" borderId="0" xfId="1" applyFont="1" applyFill="1"/>
    <xf numFmtId="166" fontId="12" fillId="0" borderId="2" xfId="1" applyFont="1" applyFill="1" applyBorder="1" applyAlignment="1">
      <alignment horizontal="center"/>
    </xf>
    <xf numFmtId="43" fontId="3" fillId="0" borderId="0" xfId="2" applyFont="1" applyFill="1" applyAlignment="1">
      <alignment vertical="center"/>
    </xf>
    <xf numFmtId="43" fontId="2" fillId="0" borderId="0" xfId="2" applyFont="1" applyFill="1"/>
    <xf numFmtId="43" fontId="2" fillId="0" borderId="2" xfId="2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7" xfId="0" applyFont="1" applyBorder="1"/>
    <xf numFmtId="0" fontId="7" fillId="0" borderId="2" xfId="0" applyFont="1" applyBorder="1"/>
    <xf numFmtId="0" fontId="12" fillId="0" borderId="2" xfId="0" applyFont="1" applyBorder="1" applyAlignment="1">
      <alignment horizontal="left"/>
    </xf>
    <xf numFmtId="0" fontId="22" fillId="0" borderId="2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12" fillId="0" borderId="46" xfId="0" applyFont="1" applyBorder="1" applyAlignment="1">
      <alignment wrapText="1"/>
    </xf>
    <xf numFmtId="0" fontId="12" fillId="0" borderId="40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43" fontId="12" fillId="0" borderId="14" xfId="0" applyNumberFormat="1" applyFont="1" applyBorder="1" applyAlignment="1">
      <alignment wrapText="1"/>
    </xf>
    <xf numFmtId="166" fontId="7" fillId="0" borderId="2" xfId="1" applyFont="1" applyFill="1" applyBorder="1"/>
    <xf numFmtId="166" fontId="7" fillId="0" borderId="0" xfId="1" applyFont="1" applyFill="1" applyBorder="1"/>
    <xf numFmtId="165" fontId="0" fillId="0" borderId="0" xfId="0" applyNumberFormat="1"/>
    <xf numFmtId="43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wrapText="1"/>
    </xf>
    <xf numFmtId="166" fontId="3" fillId="0" borderId="0" xfId="1" applyFont="1" applyFill="1" applyAlignment="1">
      <alignment vertical="center" wrapText="1"/>
    </xf>
    <xf numFmtId="0" fontId="2" fillId="0" borderId="9" xfId="0" applyFont="1" applyBorder="1"/>
    <xf numFmtId="43" fontId="3" fillId="0" borderId="9" xfId="0" applyNumberFormat="1" applyFont="1" applyBorder="1"/>
    <xf numFmtId="0" fontId="2" fillId="0" borderId="0" xfId="0" applyFont="1" applyAlignment="1">
      <alignment horizontal="center" wrapText="1"/>
    </xf>
    <xf numFmtId="43" fontId="2" fillId="0" borderId="0" xfId="0" applyNumberFormat="1" applyFont="1"/>
    <xf numFmtId="0" fontId="12" fillId="0" borderId="15" xfId="0" applyFont="1" applyBorder="1"/>
    <xf numFmtId="43" fontId="23" fillId="0" borderId="2" xfId="0" applyNumberFormat="1" applyFont="1" applyBorder="1"/>
    <xf numFmtId="43" fontId="15" fillId="0" borderId="0" xfId="2" applyFont="1" applyFill="1"/>
    <xf numFmtId="43" fontId="15" fillId="0" borderId="0" xfId="2" applyFont="1" applyFill="1" applyAlignment="1">
      <alignment vertical="center"/>
    </xf>
    <xf numFmtId="0" fontId="23" fillId="0" borderId="0" xfId="0" applyFont="1" applyAlignment="1">
      <alignment vertical="top" wrapText="1"/>
    </xf>
    <xf numFmtId="166" fontId="23" fillId="0" borderId="0" xfId="10" applyFont="1" applyFill="1"/>
    <xf numFmtId="0" fontId="2" fillId="0" borderId="4" xfId="0" applyFont="1" applyBorder="1" applyAlignment="1">
      <alignment horizontal="right" vertical="center"/>
    </xf>
    <xf numFmtId="0" fontId="2" fillId="0" borderId="2" xfId="1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0" fontId="15" fillId="0" borderId="3" xfId="0" applyFont="1" applyBorder="1" applyAlignment="1">
      <alignment wrapText="1"/>
    </xf>
    <xf numFmtId="43" fontId="2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166" fontId="3" fillId="0" borderId="3" xfId="1" applyFont="1" applyFill="1" applyBorder="1" applyAlignment="1">
      <alignment horizontal="left" vertical="center"/>
    </xf>
    <xf numFmtId="166" fontId="3" fillId="0" borderId="19" xfId="1" applyFont="1" applyFill="1" applyBorder="1" applyAlignment="1">
      <alignment horizontal="center" vertical="center"/>
    </xf>
    <xf numFmtId="169" fontId="51" fillId="0" borderId="2" xfId="6" applyNumberFormat="1" applyFont="1" applyFill="1" applyBorder="1" applyAlignment="1">
      <alignment horizontal="left" vertical="top"/>
    </xf>
    <xf numFmtId="169" fontId="51" fillId="0" borderId="2" xfId="7" applyNumberFormat="1" applyFont="1" applyFill="1" applyBorder="1" applyAlignment="1">
      <alignment horizontal="left" vertical="top"/>
    </xf>
    <xf numFmtId="164" fontId="51" fillId="0" borderId="0" xfId="18" applyFont="1" applyFill="1" applyBorder="1" applyAlignment="1">
      <alignment horizontal="left" vertical="center"/>
    </xf>
    <xf numFmtId="166" fontId="3" fillId="0" borderId="0" xfId="1" applyFont="1" applyFill="1" applyBorder="1" applyAlignment="1">
      <alignment horizontal="center" vertical="center"/>
    </xf>
    <xf numFmtId="166" fontId="3" fillId="0" borderId="0" xfId="1" applyFont="1" applyFill="1" applyBorder="1" applyAlignment="1">
      <alignment horizontal="left" vertical="center"/>
    </xf>
    <xf numFmtId="166" fontId="3" fillId="0" borderId="52" xfId="1" applyFont="1" applyFill="1" applyBorder="1" applyAlignment="1">
      <alignment horizontal="left" vertical="center"/>
    </xf>
    <xf numFmtId="166" fontId="15" fillId="0" borderId="0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169" fontId="51" fillId="0" borderId="53" xfId="7" applyNumberFormat="1" applyFont="1" applyFill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6" fontId="3" fillId="0" borderId="17" xfId="1" applyFont="1" applyFill="1" applyBorder="1" applyAlignment="1">
      <alignment horizontal="center" vertical="center"/>
    </xf>
    <xf numFmtId="169" fontId="52" fillId="0" borderId="2" xfId="7" applyNumberFormat="1" applyFont="1" applyFill="1" applyBorder="1" applyAlignment="1">
      <alignment horizontal="left" vertical="top"/>
    </xf>
    <xf numFmtId="169" fontId="51" fillId="0" borderId="50" xfId="6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6" fontId="3" fillId="0" borderId="0" xfId="1" applyFont="1" applyFill="1" applyAlignment="1">
      <alignment horizontal="right" vertical="center"/>
    </xf>
    <xf numFmtId="43" fontId="3" fillId="0" borderId="0" xfId="2" applyFont="1" applyFill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3" fillId="0" borderId="4" xfId="0" quotePrefix="1" applyFont="1" applyBorder="1" applyAlignment="1">
      <alignment vertical="center" wrapText="1"/>
    </xf>
    <xf numFmtId="166" fontId="3" fillId="0" borderId="7" xfId="1" applyFont="1" applyFill="1" applyBorder="1" applyAlignment="1">
      <alignment horizontal="right" vertical="center"/>
    </xf>
    <xf numFmtId="166" fontId="3" fillId="0" borderId="2" xfId="1" applyFont="1" applyFill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166" fontId="16" fillId="0" borderId="7" xfId="1" applyFont="1" applyFill="1" applyBorder="1" applyAlignment="1">
      <alignment horizontal="right" vertical="center"/>
    </xf>
    <xf numFmtId="166" fontId="3" fillId="0" borderId="8" xfId="1" applyFont="1" applyFill="1" applyBorder="1" applyAlignment="1">
      <alignment horizontal="right" vertical="center"/>
    </xf>
    <xf numFmtId="0" fontId="15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6" fontId="12" fillId="0" borderId="0" xfId="0" applyNumberFormat="1" applyFont="1"/>
    <xf numFmtId="0" fontId="3" fillId="0" borderId="4" xfId="0" applyFont="1" applyBorder="1" applyAlignment="1">
      <alignment vertical="center" wrapText="1"/>
    </xf>
    <xf numFmtId="166" fontId="12" fillId="0" borderId="7" xfId="1" applyFont="1" applyFill="1" applyBorder="1" applyAlignment="1">
      <alignment horizontal="right" vertical="center"/>
    </xf>
    <xf numFmtId="0" fontId="15" fillId="0" borderId="4" xfId="0" quotePrefix="1" applyFont="1" applyBorder="1" applyAlignment="1">
      <alignment vertical="center" wrapText="1"/>
    </xf>
    <xf numFmtId="43" fontId="3" fillId="0" borderId="7" xfId="2" applyFont="1" applyFill="1" applyBorder="1" applyAlignment="1">
      <alignment horizontal="right" vertical="center"/>
    </xf>
    <xf numFmtId="0" fontId="3" fillId="0" borderId="2" xfId="0" quotePrefix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6" fontId="12" fillId="0" borderId="2" xfId="0" applyNumberFormat="1" applyFont="1" applyBorder="1"/>
    <xf numFmtId="0" fontId="3" fillId="0" borderId="0" xfId="0" applyFont="1" applyAlignment="1">
      <alignment horizontal="left" wrapText="1"/>
    </xf>
    <xf numFmtId="43" fontId="3" fillId="0" borderId="2" xfId="2" applyFont="1" applyFill="1" applyBorder="1" applyAlignment="1">
      <alignment horizontal="right" vertical="center"/>
    </xf>
    <xf numFmtId="166" fontId="15" fillId="0" borderId="2" xfId="1" applyFont="1" applyFill="1" applyBorder="1" applyAlignment="1">
      <alignment horizontal="center" vertical="center"/>
    </xf>
    <xf numFmtId="166" fontId="3" fillId="0" borderId="3" xfId="1" applyFont="1" applyFill="1" applyBorder="1"/>
    <xf numFmtId="0" fontId="23" fillId="0" borderId="2" xfId="0" applyFont="1" applyBorder="1" applyAlignment="1">
      <alignment vertical="center" wrapText="1"/>
    </xf>
    <xf numFmtId="166" fontId="3" fillId="0" borderId="6" xfId="1" applyFont="1" applyFill="1" applyBorder="1"/>
    <xf numFmtId="0" fontId="50" fillId="0" borderId="3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166" fontId="50" fillId="0" borderId="2" xfId="1" applyFont="1" applyFill="1" applyBorder="1"/>
    <xf numFmtId="166" fontId="12" fillId="0" borderId="2" xfId="1" applyFont="1" applyFill="1" applyBorder="1" applyAlignment="1"/>
    <xf numFmtId="0" fontId="15" fillId="0" borderId="5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3" fillId="0" borderId="4" xfId="0" quotePrefix="1" applyFont="1" applyBorder="1" applyAlignment="1">
      <alignment wrapText="1"/>
    </xf>
    <xf numFmtId="0" fontId="3" fillId="0" borderId="5" xfId="0" applyFont="1" applyBorder="1" applyAlignment="1">
      <alignment horizontal="center"/>
    </xf>
    <xf numFmtId="166" fontId="3" fillId="0" borderId="7" xfId="1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43" fontId="6" fillId="0" borderId="0" xfId="2" applyFont="1" applyFill="1" applyAlignment="1">
      <alignment vertical="center"/>
    </xf>
    <xf numFmtId="0" fontId="6" fillId="0" borderId="0" xfId="0" applyFont="1" applyAlignment="1">
      <alignment horizontal="left" vertical="top"/>
    </xf>
    <xf numFmtId="166" fontId="6" fillId="0" borderId="0" xfId="1" applyFont="1" applyFill="1" applyAlignment="1">
      <alignment horizontal="left"/>
    </xf>
    <xf numFmtId="0" fontId="41" fillId="0" borderId="2" xfId="0" applyFont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wrapText="1"/>
    </xf>
    <xf numFmtId="0" fontId="41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 wrapText="1"/>
    </xf>
    <xf numFmtId="166" fontId="6" fillId="0" borderId="2" xfId="1" applyFont="1" applyFill="1" applyBorder="1" applyAlignment="1">
      <alignment horizontal="center" vertical="center"/>
    </xf>
    <xf numFmtId="0" fontId="42" fillId="0" borderId="4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166" fontId="6" fillId="0" borderId="2" xfId="1" applyFont="1" applyFill="1" applyBorder="1"/>
    <xf numFmtId="166" fontId="6" fillId="0" borderId="2" xfId="1" applyFont="1" applyFill="1" applyBorder="1" applyAlignment="1">
      <alignment horizontal="right" vertical="center"/>
    </xf>
    <xf numFmtId="0" fontId="7" fillId="0" borderId="2" xfId="0" quotePrefix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6" fontId="6" fillId="0" borderId="7" xfId="1" applyFont="1" applyFill="1" applyBorder="1" applyAlignment="1">
      <alignment horizontal="right" vertical="center"/>
    </xf>
    <xf numFmtId="0" fontId="6" fillId="0" borderId="2" xfId="0" quotePrefix="1" applyFont="1" applyBorder="1" applyAlignment="1">
      <alignment horizontal="left" vertical="center" wrapText="1"/>
    </xf>
    <xf numFmtId="0" fontId="42" fillId="0" borderId="2" xfId="0" quotePrefix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6" fontId="7" fillId="0" borderId="7" xfId="1" applyFont="1" applyFill="1" applyBorder="1" applyAlignment="1">
      <alignment horizontal="right" vertical="center"/>
    </xf>
    <xf numFmtId="0" fontId="42" fillId="0" borderId="2" xfId="0" applyFont="1" applyBorder="1" applyAlignment="1">
      <alignment horizontal="left" vertical="center"/>
    </xf>
    <xf numFmtId="0" fontId="6" fillId="0" borderId="4" xfId="0" quotePrefix="1" applyFont="1" applyBorder="1" applyAlignment="1">
      <alignment wrapText="1"/>
    </xf>
    <xf numFmtId="0" fontId="6" fillId="0" borderId="5" xfId="0" applyFont="1" applyBorder="1" applyAlignment="1">
      <alignment horizontal="center"/>
    </xf>
    <xf numFmtId="166" fontId="6" fillId="0" borderId="7" xfId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43" fontId="41" fillId="0" borderId="2" xfId="2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2" xfId="1" applyNumberFormat="1" applyFont="1" applyFill="1" applyBorder="1" applyAlignment="1">
      <alignment horizontal="center" vertical="center"/>
    </xf>
    <xf numFmtId="43" fontId="41" fillId="0" borderId="4" xfId="0" applyNumberFormat="1" applyFont="1" applyBorder="1"/>
    <xf numFmtId="43" fontId="6" fillId="0" borderId="4" xfId="0" applyNumberFormat="1" applyFont="1" applyBorder="1"/>
    <xf numFmtId="0" fontId="41" fillId="0" borderId="4" xfId="0" applyFont="1" applyBorder="1"/>
    <xf numFmtId="43" fontId="41" fillId="0" borderId="2" xfId="0" applyNumberFormat="1" applyFont="1" applyBorder="1"/>
    <xf numFmtId="43" fontId="3" fillId="0" borderId="0" xfId="2" applyFont="1" applyFill="1" applyAlignment="1">
      <alignment horizontal="left"/>
    </xf>
    <xf numFmtId="43" fontId="3" fillId="0" borderId="4" xfId="2" applyFont="1" applyFill="1" applyBorder="1"/>
    <xf numFmtId="43" fontId="3" fillId="0" borderId="9" xfId="2" applyFont="1" applyFill="1" applyBorder="1"/>
    <xf numFmtId="0" fontId="10" fillId="0" borderId="0" xfId="0" applyFont="1" applyAlignment="1">
      <alignment horizontal="left" vertical="center" wrapText="1"/>
    </xf>
    <xf numFmtId="43" fontId="15" fillId="0" borderId="2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wrapText="1"/>
    </xf>
    <xf numFmtId="0" fontId="16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" fontId="16" fillId="0" borderId="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0" fillId="0" borderId="0" xfId="0" applyFont="1"/>
    <xf numFmtId="166" fontId="8" fillId="0" borderId="0" xfId="1" applyFont="1" applyFill="1"/>
    <xf numFmtId="0" fontId="10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41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8" fillId="0" borderId="2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166" fontId="6" fillId="0" borderId="2" xfId="1" applyFont="1" applyFill="1" applyBorder="1" applyAlignment="1">
      <alignment wrapText="1"/>
    </xf>
    <xf numFmtId="43" fontId="6" fillId="0" borderId="4" xfId="0" applyNumberFormat="1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166" fontId="6" fillId="0" borderId="2" xfId="1" applyFont="1" applyFill="1" applyBorder="1" applyAlignment="1">
      <alignment horizontal="right" vertical="center" wrapText="1"/>
    </xf>
    <xf numFmtId="0" fontId="28" fillId="0" borderId="2" xfId="0" applyFont="1" applyBorder="1" applyAlignment="1">
      <alignment vertical="center"/>
    </xf>
    <xf numFmtId="166" fontId="6" fillId="0" borderId="7" xfId="1" applyFont="1" applyFill="1" applyBorder="1" applyAlignment="1">
      <alignment horizontal="right" vertical="center" wrapText="1"/>
    </xf>
    <xf numFmtId="0" fontId="6" fillId="0" borderId="2" xfId="0" quotePrefix="1" applyFont="1" applyBorder="1" applyAlignment="1">
      <alignment wrapText="1"/>
    </xf>
    <xf numFmtId="43" fontId="6" fillId="0" borderId="7" xfId="2" applyFont="1" applyFill="1" applyBorder="1" applyAlignment="1">
      <alignment horizontal="right" vertical="center" wrapText="1"/>
    </xf>
    <xf numFmtId="43" fontId="6" fillId="0" borderId="2" xfId="0" applyNumberFormat="1" applyFont="1" applyBorder="1"/>
    <xf numFmtId="43" fontId="42" fillId="0" borderId="2" xfId="0" applyNumberFormat="1" applyFont="1" applyBorder="1" applyAlignment="1">
      <alignment vertical="center"/>
    </xf>
    <xf numFmtId="43" fontId="7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43" fontId="3" fillId="0" borderId="4" xfId="0" applyNumberFormat="1" applyFont="1" applyBorder="1" applyAlignment="1">
      <alignment wrapText="1"/>
    </xf>
    <xf numFmtId="43" fontId="24" fillId="0" borderId="2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3" fillId="0" borderId="9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48" fillId="0" borderId="0" xfId="0" applyFont="1" applyAlignment="1">
      <alignment wrapText="1"/>
    </xf>
    <xf numFmtId="0" fontId="15" fillId="0" borderId="0" xfId="0" applyFont="1"/>
    <xf numFmtId="0" fontId="22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wrapText="1"/>
    </xf>
    <xf numFmtId="0" fontId="15" fillId="0" borderId="2" xfId="0" quotePrefix="1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43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center" wrapText="1"/>
    </xf>
    <xf numFmtId="0" fontId="49" fillId="0" borderId="2" xfId="0" applyFont="1" applyBorder="1" applyAlignment="1">
      <alignment wrapText="1"/>
    </xf>
    <xf numFmtId="43" fontId="22" fillId="0" borderId="2" xfId="0" applyNumberFormat="1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43" fontId="6" fillId="0" borderId="0" xfId="2" applyFont="1" applyFill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24" fillId="0" borderId="2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wrapText="1"/>
    </xf>
    <xf numFmtId="0" fontId="24" fillId="0" borderId="17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6" fontId="8" fillId="0" borderId="2" xfId="1" applyFont="1" applyFill="1" applyBorder="1" applyAlignment="1">
      <alignment horizontal="center" vertical="center"/>
    </xf>
    <xf numFmtId="4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166" fontId="8" fillId="0" borderId="2" xfId="1" applyFont="1" applyFill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 wrapText="1"/>
    </xf>
    <xf numFmtId="0" fontId="24" fillId="0" borderId="2" xfId="0" quotePrefix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46" fillId="0" borderId="2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/>
    </xf>
    <xf numFmtId="4" fontId="8" fillId="0" borderId="2" xfId="0" applyNumberFormat="1" applyFont="1" applyBorder="1"/>
    <xf numFmtId="0" fontId="8" fillId="0" borderId="2" xfId="0" quotePrefix="1" applyFont="1" applyBorder="1" applyAlignment="1">
      <alignment wrapText="1"/>
    </xf>
    <xf numFmtId="4" fontId="8" fillId="0" borderId="2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3" fontId="26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vertical="top" wrapText="1"/>
    </xf>
    <xf numFmtId="0" fontId="2" fillId="0" borderId="2" xfId="0" applyFont="1" applyBorder="1" applyAlignment="1">
      <alignment horizontal="left"/>
    </xf>
    <xf numFmtId="0" fontId="3" fillId="0" borderId="4" xfId="0" quotePrefix="1" applyFont="1" applyBorder="1"/>
    <xf numFmtId="43" fontId="24" fillId="0" borderId="2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6" fontId="24" fillId="0" borderId="0" xfId="1" applyFont="1" applyFill="1" applyAlignment="1">
      <alignment vertical="center"/>
    </xf>
    <xf numFmtId="0" fontId="26" fillId="0" borderId="0" xfId="0" applyFont="1" applyAlignment="1">
      <alignment vertical="center" wrapText="1"/>
    </xf>
    <xf numFmtId="0" fontId="24" fillId="0" borderId="0" xfId="0" applyFont="1"/>
    <xf numFmtId="0" fontId="22" fillId="0" borderId="2" xfId="0" applyFont="1" applyBorder="1" applyAlignment="1">
      <alignment horizontal="center" vertical="center"/>
    </xf>
    <xf numFmtId="43" fontId="3" fillId="0" borderId="2" xfId="2" applyFont="1" applyFill="1" applyBorder="1" applyAlignment="1">
      <alignment vertical="center"/>
    </xf>
    <xf numFmtId="0" fontId="3" fillId="0" borderId="8" xfId="0" applyFont="1" applyBorder="1"/>
    <xf numFmtId="43" fontId="3" fillId="0" borderId="3" xfId="2" applyFont="1" applyFill="1" applyBorder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166" fontId="6" fillId="0" borderId="0" xfId="1" applyFont="1" applyFill="1" applyAlignment="1">
      <alignment vertical="center"/>
    </xf>
    <xf numFmtId="0" fontId="27" fillId="0" borderId="0" xfId="0" applyFont="1"/>
    <xf numFmtId="0" fontId="41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42" fillId="0" borderId="2" xfId="0" applyFont="1" applyBorder="1" applyAlignment="1">
      <alignment horizontal="center" vertical="center" wrapText="1"/>
    </xf>
    <xf numFmtId="43" fontId="42" fillId="0" borderId="2" xfId="2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43" fontId="6" fillId="0" borderId="2" xfId="2" applyFont="1" applyFill="1" applyBorder="1" applyAlignment="1">
      <alignment vertical="center"/>
    </xf>
    <xf numFmtId="43" fontId="3" fillId="0" borderId="3" xfId="2" applyFont="1" applyFill="1" applyBorder="1" applyAlignment="1">
      <alignment vertical="center"/>
    </xf>
    <xf numFmtId="43" fontId="44" fillId="0" borderId="2" xfId="0" applyNumberFormat="1" applyFont="1" applyBorder="1"/>
    <xf numFmtId="43" fontId="3" fillId="0" borderId="0" xfId="2" applyFont="1" applyFill="1" applyAlignment="1">
      <alignment wrapText="1"/>
    </xf>
    <xf numFmtId="0" fontId="2" fillId="0" borderId="0" xfId="0" applyFont="1" applyAlignment="1">
      <alignment vertical="top"/>
    </xf>
    <xf numFmtId="1" fontId="3" fillId="0" borderId="4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43" fontId="23" fillId="0" borderId="2" xfId="0" applyNumberFormat="1" applyFont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4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4" fillId="0" borderId="0" xfId="0" applyFont="1" applyAlignment="1">
      <alignment wrapText="1"/>
    </xf>
    <xf numFmtId="0" fontId="41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41" fillId="0" borderId="0" xfId="0" applyFont="1" applyAlignment="1">
      <alignment wrapText="1"/>
    </xf>
    <xf numFmtId="0" fontId="44" fillId="0" borderId="0" xfId="0" applyFont="1" applyAlignment="1">
      <alignment horizontal="left" wrapText="1"/>
    </xf>
    <xf numFmtId="166" fontId="42" fillId="0" borderId="2" xfId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166" fontId="6" fillId="0" borderId="2" xfId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6" fontId="6" fillId="0" borderId="7" xfId="1" applyFont="1" applyFill="1" applyBorder="1" applyAlignment="1">
      <alignment horizontal="center" vertical="center"/>
    </xf>
    <xf numFmtId="166" fontId="6" fillId="0" borderId="2" xfId="1" applyFont="1" applyFill="1" applyBorder="1" applyAlignment="1">
      <alignment horizontal="left" vertical="center"/>
    </xf>
    <xf numFmtId="166" fontId="6" fillId="0" borderId="4" xfId="1" applyFont="1" applyFill="1" applyBorder="1" applyAlignment="1">
      <alignment horizontal="left" vertical="center"/>
    </xf>
    <xf numFmtId="0" fontId="42" fillId="0" borderId="2" xfId="0" quotePrefix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66" fontId="6" fillId="0" borderId="4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7" xfId="0" applyNumberFormat="1" applyFont="1" applyBorder="1"/>
    <xf numFmtId="4" fontId="42" fillId="0" borderId="2" xfId="0" applyNumberFormat="1" applyFont="1" applyBorder="1" applyAlignment="1">
      <alignment vertical="center"/>
    </xf>
    <xf numFmtId="167" fontId="3" fillId="0" borderId="4" xfId="2" applyNumberFormat="1" applyFont="1" applyFill="1" applyBorder="1" applyAlignment="1">
      <alignment horizontal="center"/>
    </xf>
    <xf numFmtId="0" fontId="49" fillId="0" borderId="2" xfId="0" applyFont="1" applyBorder="1"/>
    <xf numFmtId="0" fontId="22" fillId="0" borderId="2" xfId="0" applyFont="1" applyBorder="1" applyAlignment="1">
      <alignment horizontal="center" vertical="top" wrapText="1"/>
    </xf>
    <xf numFmtId="0" fontId="3" fillId="0" borderId="2" xfId="0" quotePrefix="1" applyFont="1" applyBorder="1" applyAlignment="1">
      <alignment horizontal="left" vertical="center"/>
    </xf>
    <xf numFmtId="0" fontId="25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166" fontId="3" fillId="0" borderId="2" xfId="1" applyFont="1" applyFill="1" applyBorder="1" applyAlignment="1">
      <alignment horizontal="center"/>
    </xf>
    <xf numFmtId="166" fontId="3" fillId="0" borderId="0" xfId="1" applyFont="1" applyFill="1" applyAlignment="1">
      <alignment wrapText="1"/>
    </xf>
    <xf numFmtId="43" fontId="2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166" fontId="10" fillId="0" borderId="0" xfId="1" applyFont="1" applyFill="1"/>
    <xf numFmtId="0" fontId="1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43" fontId="2" fillId="0" borderId="2" xfId="2" applyFont="1" applyFill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vertical="center"/>
    </xf>
    <xf numFmtId="43" fontId="2" fillId="0" borderId="4" xfId="0" applyNumberFormat="1" applyFont="1" applyBorder="1" applyAlignment="1">
      <alignment horizontal="right" vertical="center"/>
    </xf>
    <xf numFmtId="43" fontId="2" fillId="0" borderId="10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47" fillId="0" borderId="2" xfId="0" applyFont="1" applyBorder="1"/>
    <xf numFmtId="0" fontId="21" fillId="0" borderId="4" xfId="0" applyFont="1" applyBorder="1"/>
    <xf numFmtId="0" fontId="21" fillId="0" borderId="7" xfId="0" applyFont="1" applyBorder="1"/>
    <xf numFmtId="0" fontId="21" fillId="0" borderId="2" xfId="0" applyFont="1" applyBorder="1"/>
    <xf numFmtId="0" fontId="47" fillId="0" borderId="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17" fillId="0" borderId="2" xfId="0" applyFont="1" applyBorder="1"/>
    <xf numFmtId="0" fontId="17" fillId="0" borderId="4" xfId="0" applyFont="1" applyBorder="1"/>
    <xf numFmtId="0" fontId="17" fillId="0" borderId="7" xfId="0" applyFont="1" applyBorder="1"/>
    <xf numFmtId="166" fontId="17" fillId="0" borderId="2" xfId="16" applyFont="1" applyFill="1" applyBorder="1"/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39" fontId="21" fillId="0" borderId="2" xfId="0" applyNumberFormat="1" applyFont="1" applyBorder="1"/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39" fontId="21" fillId="0" borderId="2" xfId="0" applyNumberFormat="1" applyFont="1" applyBorder="1" applyAlignment="1">
      <alignment wrapText="1"/>
    </xf>
    <xf numFmtId="0" fontId="4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/>
    </xf>
    <xf numFmtId="166" fontId="8" fillId="0" borderId="2" xfId="1" applyFont="1" applyFill="1" applyBorder="1" applyAlignment="1">
      <alignment horizontal="center"/>
    </xf>
    <xf numFmtId="0" fontId="47" fillId="0" borderId="2" xfId="0" applyFont="1" applyBorder="1" applyAlignment="1">
      <alignment horizontal="center" vertical="center"/>
    </xf>
    <xf numFmtId="0" fontId="47" fillId="0" borderId="4" xfId="0" applyFont="1" applyBorder="1"/>
    <xf numFmtId="0" fontId="47" fillId="0" borderId="7" xfId="0" applyFont="1" applyBorder="1"/>
    <xf numFmtId="39" fontId="47" fillId="0" borderId="2" xfId="0" applyNumberFormat="1" applyFont="1" applyBorder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6" fillId="0" borderId="9" xfId="0" applyNumberFormat="1" applyFont="1" applyBorder="1"/>
    <xf numFmtId="43" fontId="41" fillId="0" borderId="10" xfId="0" applyNumberFormat="1" applyFont="1" applyBorder="1"/>
    <xf numFmtId="0" fontId="41" fillId="0" borderId="9" xfId="0" applyFont="1" applyBorder="1" applyAlignment="1">
      <alignment wrapText="1"/>
    </xf>
    <xf numFmtId="0" fontId="41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166" fontId="41" fillId="0" borderId="9" xfId="1" applyFont="1" applyFill="1" applyBorder="1"/>
    <xf numFmtId="0" fontId="41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41" fillId="0" borderId="0" xfId="0" applyFont="1" applyAlignment="1">
      <alignment vertical="top"/>
    </xf>
    <xf numFmtId="166" fontId="41" fillId="0" borderId="0" xfId="1" applyFont="1" applyFill="1"/>
    <xf numFmtId="0" fontId="6" fillId="0" borderId="2" xfId="0" applyFont="1" applyBorder="1" applyAlignment="1">
      <alignment horizontal="center" vertical="top" wrapText="1"/>
    </xf>
    <xf numFmtId="166" fontId="6" fillId="0" borderId="2" xfId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1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42" fillId="0" borderId="2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/>
    </xf>
    <xf numFmtId="43" fontId="6" fillId="0" borderId="4" xfId="0" applyNumberFormat="1" applyFont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166" fontId="6" fillId="0" borderId="2" xfId="1" applyFont="1" applyFill="1" applyBorder="1" applyAlignment="1">
      <alignment vertical="top"/>
    </xf>
    <xf numFmtId="3" fontId="6" fillId="0" borderId="2" xfId="0" applyNumberFormat="1" applyFont="1" applyBorder="1" applyAlignment="1">
      <alignment horizontal="center" vertical="top"/>
    </xf>
    <xf numFmtId="43" fontId="6" fillId="0" borderId="2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horizontal="center" vertical="top"/>
    </xf>
    <xf numFmtId="167" fontId="6" fillId="0" borderId="2" xfId="1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41" fillId="0" borderId="2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43" fontId="6" fillId="0" borderId="0" xfId="0" applyNumberFormat="1" applyFont="1" applyAlignment="1">
      <alignment vertical="top"/>
    </xf>
    <xf numFmtId="166" fontId="6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6" fontId="2" fillId="0" borderId="9" xfId="1" applyFont="1" applyFill="1" applyBorder="1"/>
    <xf numFmtId="0" fontId="0" fillId="0" borderId="4" xfId="0" applyBorder="1"/>
    <xf numFmtId="166" fontId="6" fillId="0" borderId="0" xfId="10" applyFont="1" applyFill="1"/>
    <xf numFmtId="0" fontId="41" fillId="0" borderId="0" xfId="0" applyFont="1" applyAlignment="1">
      <alignment horizontal="left" vertical="center" wrapText="1"/>
    </xf>
    <xf numFmtId="166" fontId="6" fillId="0" borderId="0" xfId="1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66" fontId="41" fillId="0" borderId="0" xfId="10" applyFont="1" applyFill="1" applyAlignment="1">
      <alignment horizontal="left"/>
    </xf>
    <xf numFmtId="166" fontId="41" fillId="0" borderId="0" xfId="10" applyFont="1" applyFill="1"/>
    <xf numFmtId="166" fontId="41" fillId="0" borderId="2" xfId="1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10" applyNumberFormat="1" applyFont="1" applyFill="1" applyBorder="1" applyAlignment="1">
      <alignment horizontal="center" vertical="center"/>
    </xf>
    <xf numFmtId="0" fontId="41" fillId="0" borderId="2" xfId="10" applyNumberFormat="1" applyFont="1" applyFill="1" applyBorder="1" applyAlignment="1">
      <alignment horizontal="center" vertical="center"/>
    </xf>
    <xf numFmtId="0" fontId="42" fillId="0" borderId="6" xfId="0" applyFont="1" applyBorder="1" applyAlignment="1">
      <alignment horizontal="left" vertical="center" wrapText="1"/>
    </xf>
    <xf numFmtId="166" fontId="6" fillId="0" borderId="2" xfId="10" applyFont="1" applyFill="1" applyBorder="1" applyAlignment="1">
      <alignment horizontal="center" vertical="center"/>
    </xf>
    <xf numFmtId="43" fontId="41" fillId="0" borderId="2" xfId="0" applyNumberFormat="1" applyFont="1" applyBorder="1" applyAlignment="1">
      <alignment horizontal="center" vertical="center"/>
    </xf>
    <xf numFmtId="43" fontId="7" fillId="0" borderId="4" xfId="0" applyNumberFormat="1" applyFont="1" applyBorder="1"/>
    <xf numFmtId="170" fontId="6" fillId="0" borderId="2" xfId="0" applyNumberFormat="1" applyFont="1" applyBorder="1"/>
    <xf numFmtId="171" fontId="41" fillId="0" borderId="4" xfId="0" applyNumberFormat="1" applyFont="1" applyBorder="1"/>
    <xf numFmtId="0" fontId="42" fillId="0" borderId="2" xfId="0" applyFont="1" applyBorder="1"/>
    <xf numFmtId="0" fontId="42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3" fontId="27" fillId="0" borderId="2" xfId="0" applyNumberFormat="1" applyFont="1" applyBorder="1"/>
    <xf numFmtId="0" fontId="44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top"/>
    </xf>
    <xf numFmtId="0" fontId="24" fillId="0" borderId="2" xfId="0" applyFont="1" applyBorder="1" applyAlignment="1">
      <alignment wrapText="1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4" fillId="0" borderId="3" xfId="0" applyFont="1" applyBorder="1" applyAlignment="1">
      <alignment wrapText="1"/>
    </xf>
    <xf numFmtId="4" fontId="8" fillId="0" borderId="9" xfId="0" applyNumberFormat="1" applyFont="1" applyBorder="1"/>
    <xf numFmtId="0" fontId="8" fillId="0" borderId="3" xfId="0" applyFont="1" applyBorder="1" applyAlignment="1">
      <alignment wrapText="1"/>
    </xf>
    <xf numFmtId="0" fontId="24" fillId="0" borderId="2" xfId="0" applyFont="1" applyBorder="1"/>
    <xf numFmtId="43" fontId="8" fillId="0" borderId="4" xfId="0" applyNumberFormat="1" applyFont="1" applyBorder="1"/>
    <xf numFmtId="0" fontId="8" fillId="0" borderId="0" xfId="0" applyFont="1" applyAlignment="1">
      <alignment horizontal="left" vertical="center" wrapText="1"/>
    </xf>
    <xf numFmtId="166" fontId="6" fillId="0" borderId="9" xfId="1" applyFont="1" applyFill="1" applyBorder="1"/>
    <xf numFmtId="43" fontId="6" fillId="0" borderId="10" xfId="0" applyNumberFormat="1" applyFont="1" applyBorder="1"/>
    <xf numFmtId="166" fontId="23" fillId="0" borderId="0" xfId="0" applyNumberFormat="1" applyFont="1" applyAlignment="1">
      <alignment horizontal="left"/>
    </xf>
    <xf numFmtId="166" fontId="23" fillId="0" borderId="0" xfId="0" applyNumberFormat="1" applyFont="1"/>
    <xf numFmtId="164" fontId="0" fillId="0" borderId="3" xfId="18" applyFont="1" applyBorder="1" applyAlignment="1">
      <alignment wrapText="1"/>
    </xf>
    <xf numFmtId="0" fontId="0" fillId="2" borderId="0" xfId="0" applyFill="1"/>
    <xf numFmtId="43" fontId="0" fillId="2" borderId="0" xfId="0" applyNumberFormat="1" applyFill="1"/>
    <xf numFmtId="164" fontId="0" fillId="2" borderId="0" xfId="18" applyFont="1" applyFill="1"/>
    <xf numFmtId="164" fontId="0" fillId="2" borderId="0" xfId="18" applyFont="1" applyFill="1" applyAlignment="1">
      <alignment horizontal="center" vertical="center" wrapText="1"/>
    </xf>
    <xf numFmtId="172" fontId="0" fillId="2" borderId="0" xfId="18" applyNumberFormat="1" applyFont="1" applyFill="1"/>
    <xf numFmtId="172" fontId="0" fillId="2" borderId="0" xfId="0" applyNumberFormat="1" applyFill="1"/>
    <xf numFmtId="166" fontId="0" fillId="2" borderId="0" xfId="1" applyFont="1" applyFill="1"/>
    <xf numFmtId="166" fontId="0" fillId="2" borderId="0" xfId="0" applyNumberFormat="1" applyFill="1"/>
    <xf numFmtId="173" fontId="0" fillId="2" borderId="0" xfId="0" applyNumberFormat="1" applyFill="1"/>
    <xf numFmtId="171" fontId="0" fillId="2" borderId="0" xfId="0" applyNumberFormat="1" applyFill="1"/>
    <xf numFmtId="168" fontId="0" fillId="2" borderId="0" xfId="0" applyNumberFormat="1" applyFill="1"/>
    <xf numFmtId="0" fontId="0" fillId="2" borderId="0" xfId="0" applyFill="1" applyAlignment="1">
      <alignment wrapText="1"/>
    </xf>
    <xf numFmtId="9" fontId="0" fillId="2" borderId="0" xfId="0" applyNumberFormat="1" applyFill="1"/>
    <xf numFmtId="4" fontId="0" fillId="2" borderId="0" xfId="0" applyNumberFormat="1" applyFill="1"/>
    <xf numFmtId="0" fontId="25" fillId="2" borderId="0" xfId="0" applyFont="1" applyFill="1" applyAlignment="1">
      <alignment wrapText="1"/>
    </xf>
    <xf numFmtId="4" fontId="25" fillId="2" borderId="0" xfId="0" applyNumberFormat="1" applyFont="1" applyFill="1"/>
    <xf numFmtId="164" fontId="25" fillId="2" borderId="0" xfId="18" applyFont="1" applyFill="1"/>
    <xf numFmtId="164" fontId="0" fillId="2" borderId="0" xfId="0" applyNumberFormat="1" applyFill="1"/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2" borderId="0" xfId="0" applyFill="1" applyAlignment="1">
      <alignment horizontal="center"/>
    </xf>
    <xf numFmtId="164" fontId="0" fillId="2" borderId="0" xfId="18" applyFont="1" applyFill="1" applyAlignment="1">
      <alignment wrapText="1"/>
    </xf>
    <xf numFmtId="172" fontId="0" fillId="2" borderId="0" xfId="18" applyNumberFormat="1" applyFont="1" applyFill="1" applyAlignment="1">
      <alignment wrapText="1"/>
    </xf>
    <xf numFmtId="166" fontId="0" fillId="2" borderId="0" xfId="1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168" fontId="0" fillId="2" borderId="0" xfId="0" applyNumberFormat="1" applyFill="1" applyAlignment="1">
      <alignment wrapText="1"/>
    </xf>
    <xf numFmtId="43" fontId="0" fillId="2" borderId="0" xfId="0" applyNumberFormat="1" applyFill="1" applyAlignment="1">
      <alignment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2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43" fontId="3" fillId="2" borderId="0" xfId="2" applyFont="1" applyFill="1" applyAlignment="1">
      <alignment vertical="center"/>
    </xf>
    <xf numFmtId="166" fontId="3" fillId="2" borderId="0" xfId="1" applyFont="1" applyFill="1"/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6" fontId="3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3" fontId="3" fillId="2" borderId="3" xfId="2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43" fontId="3" fillId="2" borderId="2" xfId="2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3" fontId="3" fillId="2" borderId="9" xfId="2" applyFont="1" applyFill="1" applyBorder="1" applyAlignment="1">
      <alignment horizontal="center"/>
    </xf>
    <xf numFmtId="43" fontId="3" fillId="2" borderId="41" xfId="2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vertical="center" wrapText="1"/>
    </xf>
    <xf numFmtId="0" fontId="0" fillId="2" borderId="6" xfId="0" applyFill="1" applyBorder="1"/>
    <xf numFmtId="0" fontId="0" fillId="2" borderId="8" xfId="0" applyFill="1" applyBorder="1"/>
    <xf numFmtId="0" fontId="0" fillId="2" borderId="3" xfId="0" applyFill="1" applyBorder="1"/>
    <xf numFmtId="2" fontId="3" fillId="2" borderId="6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3" fillId="2" borderId="2" xfId="2" applyFont="1" applyFill="1" applyBorder="1"/>
    <xf numFmtId="2" fontId="3" fillId="2" borderId="4" xfId="0" applyNumberFormat="1" applyFont="1" applyFill="1" applyBorder="1" applyAlignment="1">
      <alignment horizontal="center"/>
    </xf>
    <xf numFmtId="43" fontId="3" fillId="2" borderId="9" xfId="2" applyFont="1" applyFill="1" applyBorder="1"/>
    <xf numFmtId="2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166" fontId="3" fillId="2" borderId="9" xfId="1" applyFont="1" applyFill="1" applyBorder="1"/>
    <xf numFmtId="9" fontId="0" fillId="0" borderId="0" xfId="0" applyNumberFormat="1"/>
    <xf numFmtId="41" fontId="3" fillId="2" borderId="2" xfId="13" applyFont="1" applyFill="1" applyBorder="1" applyAlignment="1">
      <alignment horizontal="left" vertical="center"/>
    </xf>
    <xf numFmtId="166" fontId="3" fillId="2" borderId="2" xfId="1" applyFont="1" applyFill="1" applyBorder="1" applyAlignment="1"/>
    <xf numFmtId="0" fontId="0" fillId="2" borderId="2" xfId="0" applyFill="1" applyBorder="1"/>
    <xf numFmtId="43" fontId="3" fillId="2" borderId="4" xfId="2" applyFont="1" applyFill="1" applyBorder="1" applyAlignment="1"/>
    <xf numFmtId="166" fontId="3" fillId="2" borderId="19" xfId="1" applyFont="1" applyFill="1" applyBorder="1" applyAlignment="1"/>
    <xf numFmtId="0" fontId="0" fillId="2" borderId="4" xfId="0" applyFill="1" applyBorder="1"/>
    <xf numFmtId="43" fontId="0" fillId="2" borderId="41" xfId="0" applyNumberFormat="1" applyFill="1" applyBorder="1"/>
    <xf numFmtId="0" fontId="0" fillId="2" borderId="7" xfId="0" applyFill="1" applyBorder="1"/>
    <xf numFmtId="43" fontId="3" fillId="2" borderId="2" xfId="2" applyFont="1" applyFill="1" applyBorder="1" applyAlignment="1"/>
    <xf numFmtId="43" fontId="3" fillId="2" borderId="6" xfId="2" applyFont="1" applyFill="1" applyBorder="1" applyAlignment="1"/>
    <xf numFmtId="43" fontId="3" fillId="2" borderId="8" xfId="2" applyFont="1" applyFill="1" applyBorder="1" applyAlignment="1"/>
    <xf numFmtId="43" fontId="3" fillId="2" borderId="3" xfId="2" applyFont="1" applyFill="1" applyBorder="1" applyAlignment="1"/>
    <xf numFmtId="43" fontId="0" fillId="2" borderId="3" xfId="0" applyNumberFormat="1" applyFill="1" applyBorder="1"/>
    <xf numFmtId="0" fontId="6" fillId="0" borderId="0" xfId="0" applyFont="1" applyAlignment="1">
      <alignment horizontal="center" wrapText="1"/>
    </xf>
    <xf numFmtId="166" fontId="6" fillId="0" borderId="0" xfId="1" applyFont="1" applyFill="1" applyAlignment="1">
      <alignment wrapText="1"/>
    </xf>
    <xf numFmtId="43" fontId="6" fillId="0" borderId="3" xfId="2" applyFont="1" applyFill="1" applyBorder="1" applyAlignment="1">
      <alignment horizontal="center"/>
    </xf>
    <xf numFmtId="43" fontId="6" fillId="0" borderId="9" xfId="2" applyFont="1" applyFill="1" applyBorder="1" applyAlignment="1">
      <alignment horizontal="center"/>
    </xf>
    <xf numFmtId="43" fontId="6" fillId="0" borderId="41" xfId="2" applyFont="1" applyFill="1" applyBorder="1" applyAlignment="1">
      <alignment horizontal="center"/>
    </xf>
    <xf numFmtId="2" fontId="7" fillId="0" borderId="6" xfId="0" applyNumberFormat="1" applyFont="1" applyBorder="1"/>
    <xf numFmtId="0" fontId="7" fillId="0" borderId="8" xfId="0" applyFont="1" applyBorder="1"/>
    <xf numFmtId="0" fontId="7" fillId="0" borderId="3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6" fontId="7" fillId="0" borderId="3" xfId="1" applyFont="1" applyFill="1" applyBorder="1"/>
    <xf numFmtId="43" fontId="7" fillId="0" borderId="3" xfId="0" applyNumberFormat="1" applyFont="1" applyBorder="1"/>
    <xf numFmtId="2" fontId="6" fillId="0" borderId="4" xfId="0" applyNumberFormat="1" applyFont="1" applyBorder="1" applyAlignment="1">
      <alignment horizontal="center"/>
    </xf>
    <xf numFmtId="43" fontId="6" fillId="0" borderId="9" xfId="2" applyFont="1" applyFill="1" applyBorder="1"/>
    <xf numFmtId="2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9" fontId="6" fillId="0" borderId="2" xfId="6" applyNumberFormat="1" applyFont="1" applyFill="1" applyBorder="1" applyAlignment="1">
      <alignment horizontal="left" vertical="top" wrapText="1"/>
    </xf>
    <xf numFmtId="0" fontId="6" fillId="0" borderId="7" xfId="0" applyFont="1" applyBorder="1" applyAlignment="1">
      <alignment wrapText="1"/>
    </xf>
    <xf numFmtId="169" fontId="6" fillId="0" borderId="2" xfId="6" applyNumberFormat="1" applyFont="1" applyFill="1" applyBorder="1" applyAlignment="1">
      <alignment horizontal="left" vertical="top"/>
    </xf>
    <xf numFmtId="43" fontId="7" fillId="0" borderId="41" xfId="0" applyNumberFormat="1" applyFont="1" applyBorder="1"/>
    <xf numFmtId="43" fontId="6" fillId="0" borderId="7" xfId="2" applyFont="1" applyFill="1" applyBorder="1" applyAlignment="1">
      <alignment horizontal="center"/>
    </xf>
    <xf numFmtId="43" fontId="7" fillId="0" borderId="2" xfId="0" applyNumberFormat="1" applyFont="1" applyBorder="1"/>
    <xf numFmtId="0" fontId="17" fillId="0" borderId="9" xfId="0" applyFont="1" applyBorder="1" applyAlignment="1">
      <alignment vertical="center"/>
    </xf>
    <xf numFmtId="166" fontId="31" fillId="0" borderId="0" xfId="1" applyFont="1" applyFill="1" applyAlignment="1">
      <alignment vertical="center"/>
    </xf>
    <xf numFmtId="0" fontId="31" fillId="0" borderId="2" xfId="0" applyFont="1" applyBorder="1" applyAlignment="1">
      <alignment wrapText="1"/>
    </xf>
    <xf numFmtId="166" fontId="25" fillId="0" borderId="41" xfId="1" applyFont="1" applyFill="1" applyBorder="1"/>
    <xf numFmtId="166" fontId="0" fillId="0" borderId="2" xfId="1" applyFont="1" applyFill="1" applyBorder="1" applyAlignment="1">
      <alignment wrapText="1"/>
    </xf>
    <xf numFmtId="0" fontId="0" fillId="0" borderId="2" xfId="0" applyBorder="1" applyAlignment="1">
      <alignment horizontal="left" wrapText="1"/>
    </xf>
    <xf numFmtId="166" fontId="25" fillId="0" borderId="22" xfId="1" applyFont="1" applyFill="1" applyBorder="1"/>
    <xf numFmtId="9" fontId="17" fillId="0" borderId="2" xfId="0" applyNumberFormat="1" applyFont="1" applyBorder="1" applyAlignment="1">
      <alignment horizontal="center" vertical="center" wrapText="1"/>
    </xf>
    <xf numFmtId="166" fontId="17" fillId="0" borderId="2" xfId="1" applyFont="1" applyFill="1" applyBorder="1" applyAlignment="1">
      <alignment vertical="center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/>
    </xf>
    <xf numFmtId="166" fontId="0" fillId="0" borderId="9" xfId="1" applyFont="1" applyFill="1" applyBorder="1"/>
    <xf numFmtId="166" fontId="25" fillId="0" borderId="54" xfId="1" applyFont="1" applyFill="1" applyBorder="1"/>
    <xf numFmtId="166" fontId="0" fillId="0" borderId="9" xfId="1" applyFont="1" applyFill="1" applyBorder="1" applyAlignment="1">
      <alignment wrapText="1"/>
    </xf>
    <xf numFmtId="0" fontId="0" fillId="0" borderId="9" xfId="0" quotePrefix="1" applyBorder="1"/>
    <xf numFmtId="0" fontId="0" fillId="0" borderId="41" xfId="0" applyBorder="1"/>
    <xf numFmtId="166" fontId="25" fillId="0" borderId="39" xfId="1" applyFont="1" applyFill="1" applyBorder="1"/>
    <xf numFmtId="0" fontId="0" fillId="0" borderId="44" xfId="0" applyBorder="1"/>
    <xf numFmtId="0" fontId="0" fillId="0" borderId="0" xfId="0" applyAlignment="1">
      <alignment horizontal="center" wrapText="1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3" fillId="5" borderId="0" xfId="0" applyFont="1" applyFill="1" applyAlignment="1">
      <alignment horizontal="center" vertical="center"/>
    </xf>
    <xf numFmtId="43" fontId="3" fillId="5" borderId="0" xfId="2" applyFont="1" applyFill="1"/>
    <xf numFmtId="166" fontId="3" fillId="5" borderId="0" xfId="1" applyFont="1" applyFill="1"/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 wrapText="1"/>
    </xf>
    <xf numFmtId="43" fontId="3" fillId="5" borderId="2" xfId="2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15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4" fontId="3" fillId="5" borderId="2" xfId="0" applyNumberFormat="1" applyFont="1" applyFill="1" applyBorder="1"/>
    <xf numFmtId="0" fontId="3" fillId="5" borderId="2" xfId="0" applyFont="1" applyFill="1" applyBorder="1" applyAlignment="1">
      <alignment wrapText="1"/>
    </xf>
    <xf numFmtId="0" fontId="3" fillId="5" borderId="4" xfId="0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 wrapText="1"/>
    </xf>
    <xf numFmtId="43" fontId="3" fillId="5" borderId="0" xfId="2" applyFont="1" applyFill="1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6" fontId="3" fillId="5" borderId="2" xfId="1" applyFont="1" applyFill="1" applyBorder="1" applyAlignment="1">
      <alignment horizontal="center" vertical="center" wrapText="1"/>
    </xf>
    <xf numFmtId="0" fontId="3" fillId="5" borderId="2" xfId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/>
    </xf>
    <xf numFmtId="43" fontId="3" fillId="5" borderId="3" xfId="2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43" fontId="3" fillId="5" borderId="9" xfId="2" applyFont="1" applyFill="1" applyBorder="1" applyAlignment="1">
      <alignment horizontal="center"/>
    </xf>
    <xf numFmtId="43" fontId="3" fillId="5" borderId="41" xfId="2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0" fillId="5" borderId="6" xfId="0" applyFill="1" applyBorder="1"/>
    <xf numFmtId="0" fontId="0" fillId="5" borderId="8" xfId="0" applyFill="1" applyBorder="1"/>
    <xf numFmtId="0" fontId="0" fillId="5" borderId="3" xfId="0" applyFill="1" applyBorder="1"/>
    <xf numFmtId="0" fontId="3" fillId="5" borderId="8" xfId="0" applyFont="1" applyFill="1" applyBorder="1" applyAlignment="1">
      <alignment horizontal="center"/>
    </xf>
    <xf numFmtId="43" fontId="3" fillId="5" borderId="2" xfId="2" applyFont="1" applyFill="1" applyBorder="1"/>
    <xf numFmtId="2" fontId="3" fillId="5" borderId="4" xfId="0" applyNumberFormat="1" applyFont="1" applyFill="1" applyBorder="1" applyAlignment="1">
      <alignment horizontal="center"/>
    </xf>
    <xf numFmtId="43" fontId="3" fillId="5" borderId="9" xfId="2" applyFont="1" applyFill="1" applyBorder="1"/>
    <xf numFmtId="2" fontId="3" fillId="5" borderId="10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166" fontId="3" fillId="5" borderId="9" xfId="1" applyFont="1" applyFill="1" applyBorder="1"/>
    <xf numFmtId="41" fontId="3" fillId="5" borderId="2" xfId="13" applyFont="1" applyFill="1" applyBorder="1" applyAlignment="1">
      <alignment horizontal="left" vertical="center"/>
    </xf>
    <xf numFmtId="166" fontId="3" fillId="5" borderId="2" xfId="1" applyFont="1" applyFill="1" applyBorder="1" applyAlignment="1"/>
    <xf numFmtId="0" fontId="0" fillId="5" borderId="2" xfId="0" applyFill="1" applyBorder="1"/>
    <xf numFmtId="43" fontId="3" fillId="5" borderId="4" xfId="2" applyFont="1" applyFill="1" applyBorder="1" applyAlignment="1"/>
    <xf numFmtId="43" fontId="3" fillId="5" borderId="2" xfId="2" applyFont="1" applyFill="1" applyBorder="1" applyAlignment="1"/>
    <xf numFmtId="0" fontId="3" fillId="5" borderId="10" xfId="0" applyFont="1" applyFill="1" applyBorder="1" applyAlignment="1">
      <alignment horizontal="center"/>
    </xf>
    <xf numFmtId="0" fontId="0" fillId="5" borderId="7" xfId="0" applyFill="1" applyBorder="1"/>
    <xf numFmtId="0" fontId="0" fillId="5" borderId="4" xfId="0" applyFill="1" applyBorder="1"/>
    <xf numFmtId="43" fontId="0" fillId="5" borderId="41" xfId="0" applyNumberFormat="1" applyFill="1" applyBorder="1"/>
    <xf numFmtId="43" fontId="3" fillId="5" borderId="6" xfId="2" applyFont="1" applyFill="1" applyBorder="1" applyAlignment="1"/>
    <xf numFmtId="43" fontId="3" fillId="5" borderId="8" xfId="2" applyFont="1" applyFill="1" applyBorder="1" applyAlignment="1"/>
    <xf numFmtId="43" fontId="3" fillId="5" borderId="3" xfId="2" applyFont="1" applyFill="1" applyBorder="1" applyAlignment="1"/>
    <xf numFmtId="43" fontId="0" fillId="5" borderId="3" xfId="0" applyNumberFormat="1" applyFill="1" applyBorder="1"/>
    <xf numFmtId="43" fontId="0" fillId="5" borderId="2" xfId="0" applyNumberFormat="1" applyFill="1" applyBorder="1"/>
    <xf numFmtId="0" fontId="0" fillId="5" borderId="2" xfId="0" applyFill="1" applyBorder="1" applyAlignment="1">
      <alignment wrapText="1"/>
    </xf>
    <xf numFmtId="166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vertical="top" wrapText="1"/>
    </xf>
    <xf numFmtId="166" fontId="3" fillId="5" borderId="0" xfId="1" applyFont="1" applyFill="1" applyAlignment="1">
      <alignment vertical="center"/>
    </xf>
    <xf numFmtId="0" fontId="15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wrapText="1"/>
    </xf>
    <xf numFmtId="0" fontId="3" fillId="5" borderId="4" xfId="0" applyFont="1" applyFill="1" applyBorder="1"/>
    <xf numFmtId="0" fontId="3" fillId="5" borderId="7" xfId="0" applyFont="1" applyFill="1" applyBorder="1" applyAlignment="1">
      <alignment horizontal="left"/>
    </xf>
    <xf numFmtId="166" fontId="3" fillId="5" borderId="2" xfId="1" applyFont="1" applyFill="1" applyBorder="1"/>
    <xf numFmtId="43" fontId="3" fillId="5" borderId="4" xfId="0" applyNumberFormat="1" applyFont="1" applyFill="1" applyBorder="1"/>
    <xf numFmtId="0" fontId="2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wrapText="1"/>
    </xf>
    <xf numFmtId="0" fontId="3" fillId="5" borderId="10" xfId="0" applyFont="1" applyFill="1" applyBorder="1"/>
    <xf numFmtId="0" fontId="3" fillId="5" borderId="11" xfId="0" applyFont="1" applyFill="1" applyBorder="1" applyAlignment="1">
      <alignment horizontal="left"/>
    </xf>
    <xf numFmtId="43" fontId="3" fillId="5" borderId="10" xfId="0" applyNumberFormat="1" applyFont="1" applyFill="1" applyBorder="1"/>
    <xf numFmtId="43" fontId="3" fillId="5" borderId="2" xfId="0" applyNumberFormat="1" applyFont="1" applyFill="1" applyBorder="1"/>
    <xf numFmtId="4" fontId="12" fillId="0" borderId="0" xfId="0" applyNumberFormat="1" applyFont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12" fillId="6" borderId="0" xfId="0" applyFont="1" applyFill="1"/>
    <xf numFmtId="166" fontId="3" fillId="6" borderId="0" xfId="1" applyFont="1" applyFill="1"/>
    <xf numFmtId="0" fontId="2" fillId="6" borderId="0" xfId="0" applyFont="1" applyFill="1" applyAlignment="1">
      <alignment horizontal="left"/>
    </xf>
    <xf numFmtId="166" fontId="3" fillId="6" borderId="0" xfId="1" applyFont="1" applyFill="1" applyAlignment="1">
      <alignment vertical="center"/>
    </xf>
    <xf numFmtId="0" fontId="2" fillId="6" borderId="0" xfId="0" applyFont="1" applyFill="1" applyAlignment="1">
      <alignment horizontal="left" wrapText="1"/>
    </xf>
    <xf numFmtId="0" fontId="12" fillId="6" borderId="2" xfId="0" applyFont="1" applyFill="1" applyBorder="1" applyAlignment="1">
      <alignment horizontal="center" vertical="center" wrapText="1"/>
    </xf>
    <xf numFmtId="166" fontId="12" fillId="6" borderId="2" xfId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1" applyNumberFormat="1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wrapText="1"/>
    </xf>
    <xf numFmtId="165" fontId="0" fillId="6" borderId="2" xfId="0" applyNumberFormat="1" applyFill="1" applyBorder="1"/>
    <xf numFmtId="0" fontId="3" fillId="6" borderId="0" xfId="0" applyFont="1" applyFill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left"/>
    </xf>
    <xf numFmtId="43" fontId="3" fillId="6" borderId="0" xfId="0" applyNumberFormat="1" applyFont="1" applyFill="1" applyAlignment="1">
      <alignment horizontal="left"/>
    </xf>
    <xf numFmtId="4" fontId="0" fillId="0" borderId="0" xfId="0" applyNumberFormat="1" applyAlignment="1">
      <alignment wrapText="1"/>
    </xf>
    <xf numFmtId="0" fontId="2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left"/>
    </xf>
    <xf numFmtId="0" fontId="0" fillId="5" borderId="0" xfId="0" applyFill="1" applyAlignment="1">
      <alignment wrapText="1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top" wrapText="1"/>
    </xf>
    <xf numFmtId="0" fontId="8" fillId="5" borderId="0" xfId="0" applyFont="1" applyFill="1"/>
    <xf numFmtId="43" fontId="3" fillId="5" borderId="2" xfId="2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3" fillId="5" borderId="2" xfId="2" applyNumberFormat="1" applyFont="1" applyFill="1" applyBorder="1" applyAlignment="1">
      <alignment horizontal="center" vertical="center"/>
    </xf>
    <xf numFmtId="0" fontId="15" fillId="5" borderId="2" xfId="0" applyFont="1" applyFill="1" applyBorder="1"/>
    <xf numFmtId="0" fontId="3" fillId="5" borderId="9" xfId="0" applyFont="1" applyFill="1" applyBorder="1"/>
    <xf numFmtId="4" fontId="3" fillId="5" borderId="9" xfId="0" applyNumberFormat="1" applyFont="1" applyFill="1" applyBorder="1"/>
    <xf numFmtId="43" fontId="15" fillId="5" borderId="2" xfId="0" applyNumberFormat="1" applyFont="1" applyFill="1" applyBorder="1"/>
    <xf numFmtId="43" fontId="3" fillId="5" borderId="0" xfId="0" applyNumberFormat="1" applyFont="1" applyFill="1" applyAlignment="1">
      <alignment horizontal="left"/>
    </xf>
    <xf numFmtId="0" fontId="23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 wrapText="1"/>
    </xf>
    <xf numFmtId="0" fontId="2" fillId="5" borderId="0" xfId="0" applyFont="1" applyFill="1" applyAlignment="1">
      <alignment vertical="center"/>
    </xf>
    <xf numFmtId="43" fontId="15" fillId="5" borderId="0" xfId="2" applyFont="1" applyFill="1"/>
    <xf numFmtId="0" fontId="48" fillId="5" borderId="0" xfId="0" applyFont="1" applyFill="1" applyAlignment="1">
      <alignment wrapText="1"/>
    </xf>
    <xf numFmtId="0" fontId="2" fillId="5" borderId="0" xfId="0" applyFont="1" applyFill="1" applyAlignment="1">
      <alignment horizontal="left" vertical="center"/>
    </xf>
    <xf numFmtId="43" fontId="15" fillId="5" borderId="0" xfId="2" applyFont="1" applyFill="1" applyAlignment="1">
      <alignment vertical="center"/>
    </xf>
    <xf numFmtId="0" fontId="2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15" fillId="5" borderId="0" xfId="0" applyFont="1" applyFill="1"/>
    <xf numFmtId="0" fontId="15" fillId="5" borderId="4" xfId="0" applyFont="1" applyFill="1" applyBorder="1" applyAlignment="1">
      <alignment horizontal="center" vertical="center" wrapText="1"/>
    </xf>
    <xf numFmtId="43" fontId="15" fillId="5" borderId="2" xfId="2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wrapText="1"/>
    </xf>
    <xf numFmtId="0" fontId="15" fillId="5" borderId="2" xfId="0" quotePrefix="1" applyFont="1" applyFill="1" applyBorder="1" applyAlignment="1">
      <alignment horizontal="left" vertical="center"/>
    </xf>
    <xf numFmtId="0" fontId="12" fillId="5" borderId="2" xfId="0" applyFont="1" applyFill="1" applyBorder="1" applyAlignment="1">
      <alignment wrapText="1"/>
    </xf>
    <xf numFmtId="0" fontId="15" fillId="5" borderId="17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43" fontId="3" fillId="5" borderId="2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/>
    </xf>
    <xf numFmtId="0" fontId="3" fillId="5" borderId="2" xfId="0" quotePrefix="1" applyFont="1" applyFill="1" applyBorder="1" applyAlignment="1">
      <alignment horizontal="left" vertical="top" wrapText="1"/>
    </xf>
    <xf numFmtId="4" fontId="3" fillId="5" borderId="2" xfId="0" applyNumberFormat="1" applyFont="1" applyFill="1" applyBorder="1" applyAlignment="1">
      <alignment horizontal="right" vertical="center"/>
    </xf>
    <xf numFmtId="0" fontId="3" fillId="5" borderId="2" xfId="0" quotePrefix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top" wrapText="1"/>
    </xf>
    <xf numFmtId="0" fontId="15" fillId="5" borderId="2" xfId="0" quotePrefix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/>
    </xf>
    <xf numFmtId="0" fontId="3" fillId="5" borderId="3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0" fontId="49" fillId="5" borderId="2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4" fontId="3" fillId="5" borderId="7" xfId="0" applyNumberFormat="1" applyFont="1" applyFill="1" applyBorder="1"/>
    <xf numFmtId="0" fontId="12" fillId="5" borderId="2" xfId="0" applyFont="1" applyFill="1" applyBorder="1"/>
    <xf numFmtId="43" fontId="22" fillId="5" borderId="2" xfId="0" applyNumberFormat="1" applyFont="1" applyFill="1" applyBorder="1"/>
    <xf numFmtId="43" fontId="0" fillId="0" borderId="0" xfId="0" applyNumberFormat="1" applyAlignment="1">
      <alignment vertical="center"/>
    </xf>
    <xf numFmtId="39" fontId="0" fillId="0" borderId="0" xfId="0" applyNumberFormat="1"/>
    <xf numFmtId="166" fontId="3" fillId="0" borderId="2" xfId="1" applyFont="1" applyBorder="1"/>
    <xf numFmtId="166" fontId="3" fillId="0" borderId="4" xfId="1" applyFont="1" applyBorder="1" applyAlignment="1">
      <alignment horizontal="center" vertical="center"/>
    </xf>
    <xf numFmtId="43" fontId="41" fillId="0" borderId="2" xfId="0" applyNumberFormat="1" applyFont="1" applyBorder="1" applyAlignment="1">
      <alignment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3" fillId="4" borderId="0" xfId="0" applyFont="1" applyFill="1"/>
    <xf numFmtId="0" fontId="23" fillId="4" borderId="0" xfId="0" applyFont="1" applyFill="1" applyAlignment="1">
      <alignment wrapText="1"/>
    </xf>
    <xf numFmtId="0" fontId="23" fillId="4" borderId="0" xfId="0" applyFont="1" applyFill="1" applyAlignment="1">
      <alignment horizontal="center" vertical="center"/>
    </xf>
    <xf numFmtId="0" fontId="22" fillId="4" borderId="0" xfId="0" applyFont="1" applyFill="1"/>
    <xf numFmtId="0" fontId="23" fillId="4" borderId="0" xfId="0" applyFont="1" applyFill="1" applyAlignment="1">
      <alignment horizontal="left"/>
    </xf>
    <xf numFmtId="0" fontId="23" fillId="4" borderId="0" xfId="0" applyFont="1" applyFill="1" applyAlignment="1">
      <alignment horizontal="left" wrapText="1"/>
    </xf>
    <xf numFmtId="0" fontId="23" fillId="4" borderId="0" xfId="0" applyFont="1" applyFill="1" applyAlignment="1">
      <alignment horizontal="left" vertical="top" wrapText="1"/>
    </xf>
    <xf numFmtId="0" fontId="43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66" fontId="15" fillId="4" borderId="2" xfId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2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166" fontId="15" fillId="4" borderId="2" xfId="1" applyFont="1" applyFill="1" applyBorder="1" applyAlignment="1">
      <alignment horizontal="left" vertical="center" wrapText="1"/>
    </xf>
    <xf numFmtId="166" fontId="3" fillId="4" borderId="4" xfId="1" applyFont="1" applyFill="1" applyBorder="1" applyAlignment="1">
      <alignment horizontal="center" vertical="center"/>
    </xf>
    <xf numFmtId="166" fontId="3" fillId="4" borderId="7" xfId="1" applyFont="1" applyFill="1" applyBorder="1" applyAlignment="1">
      <alignment horizontal="center" vertical="center"/>
    </xf>
    <xf numFmtId="166" fontId="3" fillId="4" borderId="2" xfId="1" applyFont="1" applyFill="1" applyBorder="1" applyAlignment="1">
      <alignment horizontal="left" vertical="center"/>
    </xf>
    <xf numFmtId="166" fontId="3" fillId="4" borderId="4" xfId="1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/>
    </xf>
    <xf numFmtId="166" fontId="3" fillId="4" borderId="2" xfId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166" fontId="3" fillId="4" borderId="41" xfId="1" applyFont="1" applyFill="1" applyBorder="1" applyAlignment="1">
      <alignment horizontal="left" vertical="center"/>
    </xf>
    <xf numFmtId="0" fontId="15" fillId="4" borderId="3" xfId="0" quotePrefix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6" fontId="3" fillId="4" borderId="6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66" fontId="3" fillId="4" borderId="2" xfId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6" fontId="3" fillId="4" borderId="9" xfId="1" applyFont="1" applyFill="1" applyBorder="1" applyAlignment="1">
      <alignment horizontal="center" vertical="center"/>
    </xf>
    <xf numFmtId="166" fontId="3" fillId="4" borderId="10" xfId="1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wrapText="1"/>
    </xf>
    <xf numFmtId="4" fontId="3" fillId="4" borderId="2" xfId="0" applyNumberFormat="1" applyFont="1" applyFill="1" applyBorder="1"/>
    <xf numFmtId="0" fontId="2" fillId="4" borderId="3" xfId="0" applyFont="1" applyFill="1" applyBorder="1" applyAlignment="1">
      <alignment horizontal="left" vertical="center"/>
    </xf>
    <xf numFmtId="166" fontId="3" fillId="4" borderId="9" xfId="1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/>
    </xf>
    <xf numFmtId="166" fontId="3" fillId="4" borderId="11" xfId="1" applyFont="1" applyFill="1" applyBorder="1" applyAlignment="1">
      <alignment horizontal="center" vertical="center"/>
    </xf>
    <xf numFmtId="166" fontId="3" fillId="4" borderId="9" xfId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169" fontId="51" fillId="4" borderId="50" xfId="6" applyNumberFormat="1" applyFont="1" applyFill="1" applyBorder="1" applyAlignment="1">
      <alignment horizontal="left" vertical="top"/>
    </xf>
    <xf numFmtId="166" fontId="3" fillId="4" borderId="3" xfId="1" applyFont="1" applyFill="1" applyBorder="1" applyAlignment="1">
      <alignment horizontal="center" vertical="center"/>
    </xf>
    <xf numFmtId="169" fontId="51" fillId="4" borderId="50" xfId="7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166" fontId="6" fillId="4" borderId="0" xfId="1" applyFont="1" applyFill="1"/>
    <xf numFmtId="0" fontId="7" fillId="4" borderId="0" xfId="0" applyFont="1" applyFill="1"/>
    <xf numFmtId="0" fontId="41" fillId="4" borderId="0" xfId="0" applyFont="1" applyFill="1"/>
    <xf numFmtId="0" fontId="41" fillId="4" borderId="0" xfId="0" applyFont="1" applyFill="1" applyAlignment="1">
      <alignment vertical="top"/>
    </xf>
    <xf numFmtId="0" fontId="41" fillId="4" borderId="0" xfId="0" applyFont="1" applyFill="1" applyAlignment="1">
      <alignment vertical="top" wrapText="1"/>
    </xf>
    <xf numFmtId="43" fontId="6" fillId="4" borderId="0" xfId="2" applyFont="1" applyFill="1"/>
    <xf numFmtId="43" fontId="6" fillId="4" borderId="0" xfId="2" applyFont="1" applyFill="1" applyAlignment="1">
      <alignment vertical="center" wrapText="1"/>
    </xf>
    <xf numFmtId="43" fontId="6" fillId="4" borderId="0" xfId="2" applyFont="1" applyFill="1" applyAlignment="1">
      <alignment vertical="center"/>
    </xf>
    <xf numFmtId="0" fontId="41" fillId="4" borderId="0" xfId="0" applyFont="1" applyFill="1" applyAlignment="1">
      <alignment wrapText="1"/>
    </xf>
    <xf numFmtId="0" fontId="41" fillId="4" borderId="0" xfId="0" applyFont="1" applyFill="1" applyAlignment="1">
      <alignment horizontal="left"/>
    </xf>
    <xf numFmtId="166" fontId="41" fillId="4" borderId="0" xfId="1" applyFont="1" applyFill="1"/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6" fontId="6" fillId="4" borderId="2" xfId="1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/>
    </xf>
    <xf numFmtId="0" fontId="6" fillId="4" borderId="2" xfId="0" applyFont="1" applyFill="1" applyBorder="1"/>
    <xf numFmtId="0" fontId="42" fillId="4" borderId="2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" fontId="6" fillId="4" borderId="2" xfId="0" applyNumberFormat="1" applyFont="1" applyFill="1" applyBorder="1"/>
    <xf numFmtId="43" fontId="6" fillId="4" borderId="4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right" vertical="top"/>
    </xf>
    <xf numFmtId="0" fontId="6" fillId="4" borderId="2" xfId="0" applyFont="1" applyFill="1" applyBorder="1" applyAlignment="1">
      <alignment horizontal="left" vertical="top"/>
    </xf>
    <xf numFmtId="4" fontId="6" fillId="4" borderId="2" xfId="0" applyNumberFormat="1" applyFont="1" applyFill="1" applyBorder="1" applyAlignment="1">
      <alignment vertical="top"/>
    </xf>
    <xf numFmtId="43" fontId="6" fillId="4" borderId="4" xfId="0" applyNumberFormat="1" applyFont="1" applyFill="1" applyBorder="1" applyAlignment="1">
      <alignment vertical="top"/>
    </xf>
    <xf numFmtId="0" fontId="6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vertical="top"/>
    </xf>
    <xf numFmtId="0" fontId="6" fillId="4" borderId="2" xfId="0" applyFont="1" applyFill="1" applyBorder="1" applyAlignment="1">
      <alignment horizontal="center" vertical="top"/>
    </xf>
    <xf numFmtId="166" fontId="6" fillId="4" borderId="2" xfId="1" applyFont="1" applyFill="1" applyBorder="1"/>
    <xf numFmtId="43" fontId="41" fillId="4" borderId="4" xfId="0" applyNumberFormat="1" applyFont="1" applyFill="1" applyBorder="1"/>
    <xf numFmtId="0" fontId="6" fillId="4" borderId="2" xfId="0" applyFont="1" applyFill="1" applyBorder="1" applyAlignment="1">
      <alignment vertical="top" wrapText="1"/>
    </xf>
    <xf numFmtId="3" fontId="6" fillId="4" borderId="2" xfId="0" applyNumberFormat="1" applyFont="1" applyFill="1" applyBorder="1" applyAlignment="1">
      <alignment horizontal="right"/>
    </xf>
    <xf numFmtId="43" fontId="6" fillId="4" borderId="2" xfId="0" applyNumberFormat="1" applyFont="1" applyFill="1" applyBorder="1"/>
    <xf numFmtId="4" fontId="6" fillId="4" borderId="2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" fontId="6" fillId="4" borderId="7" xfId="0" applyNumberFormat="1" applyFont="1" applyFill="1" applyBorder="1"/>
    <xf numFmtId="167" fontId="6" fillId="4" borderId="2" xfId="1" applyNumberFormat="1" applyFont="1" applyFill="1" applyBorder="1" applyAlignment="1">
      <alignment horizontal="center"/>
    </xf>
    <xf numFmtId="0" fontId="41" fillId="4" borderId="2" xfId="0" applyFont="1" applyFill="1" applyBorder="1"/>
    <xf numFmtId="0" fontId="2" fillId="4" borderId="0" xfId="0" applyFont="1" applyFill="1" applyAlignment="1">
      <alignment horizontal="center"/>
    </xf>
    <xf numFmtId="166" fontId="3" fillId="4" borderId="0" xfId="1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43" fontId="3" fillId="4" borderId="2" xfId="2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/>
    </xf>
    <xf numFmtId="43" fontId="3" fillId="4" borderId="2" xfId="2" applyFont="1" applyFill="1" applyBorder="1"/>
    <xf numFmtId="43" fontId="3" fillId="4" borderId="2" xfId="2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horizontal="left" vertical="center"/>
    </xf>
    <xf numFmtId="166" fontId="3" fillId="4" borderId="0" xfId="1" applyFont="1" applyFill="1" applyAlignment="1">
      <alignment vertical="top"/>
    </xf>
    <xf numFmtId="0" fontId="3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15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/>
    </xf>
    <xf numFmtId="166" fontId="3" fillId="4" borderId="2" xfId="1" applyFont="1" applyFill="1" applyBorder="1" applyAlignment="1">
      <alignment wrapText="1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/>
    </xf>
    <xf numFmtId="0" fontId="23" fillId="5" borderId="0" xfId="0" applyFont="1" applyFill="1"/>
    <xf numFmtId="0" fontId="23" fillId="5" borderId="0" xfId="0" applyFont="1" applyFill="1" applyAlignment="1">
      <alignment wrapText="1"/>
    </xf>
    <xf numFmtId="0" fontId="23" fillId="5" borderId="0" xfId="0" applyFont="1" applyFill="1" applyAlignment="1">
      <alignment horizontal="center" vertical="center"/>
    </xf>
    <xf numFmtId="0" fontId="22" fillId="5" borderId="0" xfId="0" applyFont="1" applyFill="1"/>
    <xf numFmtId="0" fontId="23" fillId="5" borderId="0" xfId="0" applyFont="1" applyFill="1" applyAlignment="1">
      <alignment horizontal="left"/>
    </xf>
    <xf numFmtId="0" fontId="23" fillId="5" borderId="0" xfId="0" applyFont="1" applyFill="1" applyAlignment="1">
      <alignment horizontal="left" wrapText="1"/>
    </xf>
    <xf numFmtId="0" fontId="23" fillId="5" borderId="0" xfId="0" applyFont="1" applyFill="1" applyAlignment="1">
      <alignment horizontal="left" vertical="top" wrapText="1"/>
    </xf>
    <xf numFmtId="0" fontId="43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166" fontId="15" fillId="5" borderId="2" xfId="1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166" fontId="15" fillId="5" borderId="2" xfId="1" applyFont="1" applyFill="1" applyBorder="1" applyAlignment="1">
      <alignment horizontal="left" vertical="center" wrapText="1"/>
    </xf>
    <xf numFmtId="166" fontId="3" fillId="5" borderId="4" xfId="1" applyFont="1" applyFill="1" applyBorder="1" applyAlignment="1">
      <alignment horizontal="center" vertical="center"/>
    </xf>
    <xf numFmtId="166" fontId="3" fillId="5" borderId="7" xfId="1" applyFont="1" applyFill="1" applyBorder="1" applyAlignment="1">
      <alignment horizontal="center" vertical="center"/>
    </xf>
    <xf numFmtId="166" fontId="3" fillId="5" borderId="2" xfId="1" applyFont="1" applyFill="1" applyBorder="1" applyAlignment="1">
      <alignment horizontal="left" vertical="center"/>
    </xf>
    <xf numFmtId="166" fontId="3" fillId="5" borderId="4" xfId="1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66" fontId="3" fillId="5" borderId="2" xfId="1" applyFont="1" applyFill="1" applyBorder="1" applyAlignment="1">
      <alignment horizontal="left" vertical="center" wrapText="1"/>
    </xf>
    <xf numFmtId="166" fontId="3" fillId="5" borderId="41" xfId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66" fontId="3" fillId="5" borderId="6" xfId="1" applyFont="1" applyFill="1" applyBorder="1" applyAlignment="1">
      <alignment horizontal="left" vertical="center"/>
    </xf>
    <xf numFmtId="166" fontId="3" fillId="5" borderId="10" xfId="1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166" fontId="3" fillId="5" borderId="9" xfId="1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166" fontId="3" fillId="5" borderId="11" xfId="1" applyFont="1" applyFill="1" applyBorder="1" applyAlignment="1">
      <alignment horizontal="center" vertical="center"/>
    </xf>
    <xf numFmtId="166" fontId="3" fillId="5" borderId="9" xfId="1" applyFont="1" applyFill="1" applyBorder="1" applyAlignment="1">
      <alignment horizontal="left" vertical="center"/>
    </xf>
    <xf numFmtId="43" fontId="53" fillId="0" borderId="55" xfId="6" applyFont="1" applyFill="1" applyBorder="1" applyAlignment="1">
      <alignment horizontal="left" vertical="center"/>
    </xf>
    <xf numFmtId="43" fontId="2" fillId="0" borderId="0" xfId="0" applyNumberFormat="1" applyFont="1" applyAlignment="1">
      <alignment horizontal="left"/>
    </xf>
    <xf numFmtId="166" fontId="3" fillId="5" borderId="3" xfId="1" applyFont="1" applyFill="1" applyBorder="1" applyAlignment="1">
      <alignment horizontal="center" vertical="center"/>
    </xf>
    <xf numFmtId="174" fontId="0" fillId="0" borderId="0" xfId="18" applyNumberFormat="1" applyFont="1"/>
    <xf numFmtId="0" fontId="54" fillId="0" borderId="0" xfId="0" applyFont="1"/>
    <xf numFmtId="166" fontId="54" fillId="0" borderId="0" xfId="1" applyFont="1"/>
    <xf numFmtId="0" fontId="54" fillId="0" borderId="0" xfId="0" applyFont="1" applyAlignment="1">
      <alignment wrapText="1"/>
    </xf>
    <xf numFmtId="0" fontId="55" fillId="0" borderId="2" xfId="0" applyFont="1" applyBorder="1" applyAlignment="1">
      <alignment horizontal="center" vertical="center"/>
    </xf>
    <xf numFmtId="0" fontId="0" fillId="0" borderId="2" xfId="0" quotePrefix="1" applyBorder="1"/>
    <xf numFmtId="0" fontId="0" fillId="7" borderId="2" xfId="0" applyFill="1" applyBorder="1"/>
    <xf numFmtId="0" fontId="0" fillId="7" borderId="2" xfId="0" applyFill="1" applyBorder="1" applyAlignment="1">
      <alignment wrapText="1"/>
    </xf>
    <xf numFmtId="0" fontId="0" fillId="4" borderId="2" xfId="0" quotePrefix="1" applyFill="1" applyBorder="1"/>
    <xf numFmtId="166" fontId="0" fillId="4" borderId="2" xfId="1" applyFont="1" applyFill="1" applyBorder="1"/>
    <xf numFmtId="43" fontId="0" fillId="0" borderId="2" xfId="0" applyNumberFormat="1" applyBorder="1" applyAlignment="1">
      <alignment wrapText="1"/>
    </xf>
    <xf numFmtId="166" fontId="0" fillId="4" borderId="2" xfId="1" applyFont="1" applyFill="1" applyBorder="1" applyAlignment="1">
      <alignment wrapText="1"/>
    </xf>
    <xf numFmtId="166" fontId="0" fillId="7" borderId="2" xfId="1" applyFont="1" applyFill="1" applyBorder="1"/>
    <xf numFmtId="0" fontId="0" fillId="7" borderId="4" xfId="0" applyFill="1" applyBorder="1"/>
    <xf numFmtId="0" fontId="0" fillId="7" borderId="52" xfId="0" applyFill="1" applyBorder="1" applyAlignment="1">
      <alignment wrapText="1"/>
    </xf>
    <xf numFmtId="0" fontId="0" fillId="4" borderId="2" xfId="1" applyNumberFormat="1" applyFont="1" applyFill="1" applyBorder="1"/>
    <xf numFmtId="0" fontId="0" fillId="4" borderId="2" xfId="1" quotePrefix="1" applyNumberFormat="1" applyFont="1" applyFill="1" applyBorder="1"/>
    <xf numFmtId="0" fontId="56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2" fillId="4" borderId="2" xfId="0" applyFont="1" applyFill="1" applyBorder="1"/>
    <xf numFmtId="0" fontId="3" fillId="4" borderId="2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left"/>
    </xf>
    <xf numFmtId="43" fontId="3" fillId="4" borderId="4" xfId="0" applyNumberFormat="1" applyFont="1" applyFill="1" applyBorder="1"/>
    <xf numFmtId="0" fontId="12" fillId="4" borderId="2" xfId="0" applyFont="1" applyFill="1" applyBorder="1"/>
    <xf numFmtId="43" fontId="12" fillId="4" borderId="2" xfId="0" applyNumberFormat="1" applyFont="1" applyFill="1" applyBorder="1"/>
    <xf numFmtId="0" fontId="12" fillId="4" borderId="2" xfId="0" applyFont="1" applyFill="1" applyBorder="1" applyAlignment="1">
      <alignment wrapText="1"/>
    </xf>
    <xf numFmtId="0" fontId="2" fillId="4" borderId="0" xfId="0" applyFont="1" applyFill="1"/>
    <xf numFmtId="43" fontId="3" fillId="4" borderId="0" xfId="2" applyFont="1" applyFill="1"/>
    <xf numFmtId="43" fontId="3" fillId="4" borderId="0" xfId="2" applyFont="1" applyFill="1" applyAlignment="1">
      <alignment vertical="center"/>
    </xf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43" fontId="2" fillId="4" borderId="0" xfId="2" applyFont="1" applyFill="1"/>
    <xf numFmtId="0" fontId="2" fillId="4" borderId="2" xfId="0" applyFont="1" applyFill="1" applyBorder="1" applyAlignment="1">
      <alignment horizontal="center" vertical="center" wrapText="1"/>
    </xf>
    <xf numFmtId="43" fontId="2" fillId="4" borderId="2" xfId="2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2" fillId="4" borderId="2" xfId="2" applyNumberFormat="1" applyFont="1" applyFill="1" applyBorder="1" applyAlignment="1">
      <alignment horizontal="center" vertical="center"/>
    </xf>
    <xf numFmtId="165" fontId="0" fillId="4" borderId="2" xfId="0" applyNumberFormat="1" applyFill="1" applyBorder="1"/>
    <xf numFmtId="0" fontId="12" fillId="4" borderId="0" xfId="0" applyFont="1" applyFill="1"/>
    <xf numFmtId="166" fontId="12" fillId="4" borderId="0" xfId="1" applyFont="1" applyFill="1"/>
    <xf numFmtId="43" fontId="3" fillId="4" borderId="0" xfId="0" applyNumberFormat="1" applyFont="1" applyFill="1" applyAlignment="1">
      <alignment horizontal="left"/>
    </xf>
    <xf numFmtId="166" fontId="3" fillId="4" borderId="0" xfId="1" applyFont="1" applyFill="1" applyAlignment="1">
      <alignment vertical="center"/>
    </xf>
    <xf numFmtId="166" fontId="2" fillId="4" borderId="0" xfId="1" applyFont="1" applyFill="1" applyAlignment="1">
      <alignment horizontal="left"/>
    </xf>
    <xf numFmtId="166" fontId="2" fillId="4" borderId="0" xfId="1" applyFont="1" applyFill="1"/>
    <xf numFmtId="0" fontId="12" fillId="4" borderId="2" xfId="0" applyFont="1" applyFill="1" applyBorder="1" applyAlignment="1">
      <alignment horizontal="center" vertical="center" wrapText="1"/>
    </xf>
    <xf numFmtId="166" fontId="12" fillId="4" borderId="2" xfId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4" xfId="0" applyFont="1" applyFill="1" applyBorder="1"/>
    <xf numFmtId="0" fontId="12" fillId="4" borderId="7" xfId="0" applyFont="1" applyFill="1" applyBorder="1" applyAlignment="1">
      <alignment horizontal="left"/>
    </xf>
    <xf numFmtId="166" fontId="12" fillId="4" borderId="2" xfId="1" applyFont="1" applyFill="1" applyBorder="1"/>
    <xf numFmtId="43" fontId="12" fillId="4" borderId="4" xfId="0" applyNumberFormat="1" applyFont="1" applyFill="1" applyBorder="1"/>
    <xf numFmtId="166" fontId="3" fillId="4" borderId="2" xfId="1" applyFont="1" applyFill="1" applyBorder="1"/>
    <xf numFmtId="0" fontId="15" fillId="4" borderId="2" xfId="0" applyFont="1" applyFill="1" applyBorder="1" applyAlignment="1">
      <alignment horizontal="left" vertical="center" wrapText="1"/>
    </xf>
    <xf numFmtId="166" fontId="3" fillId="4" borderId="2" xfId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43" fontId="2" fillId="4" borderId="4" xfId="0" applyNumberFormat="1" applyFont="1" applyFill="1" applyBorder="1"/>
    <xf numFmtId="43" fontId="3" fillId="0" borderId="7" xfId="2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/>
    </xf>
    <xf numFmtId="175" fontId="0" fillId="0" borderId="0" xfId="0" applyNumberFormat="1"/>
    <xf numFmtId="176" fontId="0" fillId="0" borderId="0" xfId="1" applyNumberFormat="1" applyFont="1" applyFill="1"/>
    <xf numFmtId="177" fontId="0" fillId="0" borderId="0" xfId="0" applyNumberFormat="1"/>
    <xf numFmtId="10" fontId="0" fillId="0" borderId="0" xfId="19" applyNumberFormat="1" applyFont="1"/>
    <xf numFmtId="9" fontId="0" fillId="0" borderId="2" xfId="19" applyFont="1" applyBorder="1"/>
    <xf numFmtId="9" fontId="0" fillId="0" borderId="2" xfId="0" applyNumberFormat="1" applyBorder="1"/>
    <xf numFmtId="10" fontId="0" fillId="0" borderId="2" xfId="19" applyNumberFormat="1" applyFont="1" applyBorder="1"/>
    <xf numFmtId="10" fontId="0" fillId="0" borderId="2" xfId="0" applyNumberFormat="1" applyBorder="1"/>
    <xf numFmtId="2" fontId="3" fillId="5" borderId="6" xfId="0" applyNumberFormat="1" applyFont="1" applyFill="1" applyBorder="1" applyAlignment="1">
      <alignment horizontal="center"/>
    </xf>
    <xf numFmtId="166" fontId="3" fillId="5" borderId="19" xfId="1" applyFont="1" applyFill="1" applyBorder="1" applyAlignment="1"/>
    <xf numFmtId="178" fontId="6" fillId="0" borderId="4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4" fontId="2" fillId="0" borderId="3" xfId="2" applyNumberFormat="1" applyFont="1" applyFill="1" applyBorder="1" applyAlignment="1">
      <alignment horizontal="right" vertical="center"/>
    </xf>
    <xf numFmtId="166" fontId="12" fillId="0" borderId="0" xfId="1" applyFont="1"/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center" vertical="top" wrapText="1"/>
    </xf>
    <xf numFmtId="166" fontId="3" fillId="4" borderId="2" xfId="1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wrapText="1"/>
    </xf>
    <xf numFmtId="43" fontId="3" fillId="4" borderId="3" xfId="2" applyFont="1" applyFill="1" applyBorder="1" applyAlignment="1">
      <alignment horizontal="center"/>
    </xf>
    <xf numFmtId="0" fontId="3" fillId="4" borderId="6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center"/>
    </xf>
    <xf numFmtId="43" fontId="3" fillId="4" borderId="9" xfId="2" applyFont="1" applyFill="1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43" fontId="3" fillId="4" borderId="41" xfId="2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2" fontId="3" fillId="4" borderId="3" xfId="2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left" vertical="center"/>
    </xf>
    <xf numFmtId="41" fontId="3" fillId="4" borderId="2" xfId="13" applyFont="1" applyFill="1" applyBorder="1" applyAlignment="1">
      <alignment horizontal="left" vertical="center"/>
    </xf>
    <xf numFmtId="2" fontId="3" fillId="4" borderId="4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43" fontId="3" fillId="4" borderId="9" xfId="2" applyFont="1" applyFill="1" applyBorder="1"/>
    <xf numFmtId="41" fontId="3" fillId="4" borderId="4" xfId="13" applyFont="1" applyFill="1" applyBorder="1" applyAlignment="1">
      <alignment horizontal="left" vertical="center"/>
    </xf>
    <xf numFmtId="43" fontId="3" fillId="4" borderId="41" xfId="2" applyFont="1" applyFill="1" applyBorder="1"/>
    <xf numFmtId="43" fontId="3" fillId="4" borderId="3" xfId="2" applyFont="1" applyFill="1" applyBorder="1"/>
    <xf numFmtId="169" fontId="51" fillId="4" borderId="2" xfId="6" applyNumberFormat="1" applyFont="1" applyFill="1" applyBorder="1" applyAlignment="1">
      <alignment horizontal="left" vertical="top"/>
    </xf>
    <xf numFmtId="43" fontId="51" fillId="4" borderId="2" xfId="6" applyFont="1" applyFill="1" applyBorder="1" applyAlignment="1">
      <alignment horizontal="left" vertical="center"/>
    </xf>
    <xf numFmtId="169" fontId="51" fillId="4" borderId="2" xfId="6" applyNumberFormat="1" applyFont="1" applyFill="1" applyBorder="1" applyAlignment="1">
      <alignment horizontal="center" vertical="center"/>
    </xf>
    <xf numFmtId="0" fontId="3" fillId="4" borderId="7" xfId="0" applyFont="1" applyFill="1" applyBorder="1"/>
    <xf numFmtId="169" fontId="51" fillId="4" borderId="2" xfId="7" applyNumberFormat="1" applyFont="1" applyFill="1" applyBorder="1" applyAlignment="1">
      <alignment horizontal="left" vertical="top"/>
    </xf>
    <xf numFmtId="43" fontId="51" fillId="4" borderId="9" xfId="6" applyFont="1" applyFill="1" applyBorder="1" applyAlignment="1">
      <alignment horizontal="left" vertical="center"/>
    </xf>
    <xf numFmtId="169" fontId="51" fillId="4" borderId="9" xfId="6" applyNumberFormat="1" applyFont="1" applyFill="1" applyBorder="1" applyAlignment="1">
      <alignment horizontal="center" vertical="center"/>
    </xf>
    <xf numFmtId="0" fontId="7" fillId="4" borderId="6" xfId="0" applyFont="1" applyFill="1" applyBorder="1"/>
    <xf numFmtId="43" fontId="7" fillId="4" borderId="51" xfId="0" applyNumberFormat="1" applyFont="1" applyFill="1" applyBorder="1"/>
    <xf numFmtId="0" fontId="3" fillId="4" borderId="7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7" fillId="4" borderId="9" xfId="0" applyFont="1" applyFill="1" applyBorder="1"/>
    <xf numFmtId="0" fontId="7" fillId="4" borderId="15" xfId="0" applyFont="1" applyFill="1" applyBorder="1"/>
    <xf numFmtId="0" fontId="7" fillId="4" borderId="19" xfId="0" applyFont="1" applyFill="1" applyBorder="1"/>
    <xf numFmtId="0" fontId="7" fillId="4" borderId="17" xfId="0" applyFont="1" applyFill="1" applyBorder="1"/>
    <xf numFmtId="0" fontId="3" fillId="4" borderId="4" xfId="0" applyFont="1" applyFill="1" applyBorder="1" applyAlignment="1">
      <alignment vertical="center"/>
    </xf>
    <xf numFmtId="43" fontId="3" fillId="4" borderId="52" xfId="0" applyNumberFormat="1" applyFont="1" applyFill="1" applyBorder="1" applyAlignment="1">
      <alignment vertical="center"/>
    </xf>
    <xf numFmtId="43" fontId="51" fillId="4" borderId="55" xfId="6" applyFont="1" applyFill="1" applyBorder="1" applyAlignment="1">
      <alignment horizontal="left" vertical="center"/>
    </xf>
    <xf numFmtId="4" fontId="3" fillId="4" borderId="2" xfId="3" applyNumberFormat="1" applyFont="1" applyFill="1" applyBorder="1" applyAlignment="1">
      <alignment vertical="center"/>
    </xf>
    <xf numFmtId="0" fontId="7" fillId="4" borderId="4" xfId="0" applyFont="1" applyFill="1" applyBorder="1"/>
    <xf numFmtId="169" fontId="6" fillId="4" borderId="2" xfId="6" applyNumberFormat="1" applyFont="1" applyFill="1" applyBorder="1" applyAlignment="1">
      <alignment horizontal="left" vertical="top"/>
    </xf>
    <xf numFmtId="169" fontId="6" fillId="4" borderId="2" xfId="7" applyNumberFormat="1" applyFont="1" applyFill="1" applyBorder="1" applyAlignment="1">
      <alignment horizontal="left" vertical="top"/>
    </xf>
    <xf numFmtId="4" fontId="3" fillId="4" borderId="9" xfId="3" applyNumberFormat="1" applyFont="1" applyFill="1" applyBorder="1" applyAlignment="1">
      <alignment vertical="center"/>
    </xf>
    <xf numFmtId="1" fontId="3" fillId="4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43" fontId="7" fillId="4" borderId="41" xfId="0" applyNumberFormat="1" applyFont="1" applyFill="1" applyBorder="1"/>
    <xf numFmtId="10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166" fontId="18" fillId="0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33" fillId="0" borderId="2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2" xfId="0" applyFont="1" applyBorder="1"/>
    <xf numFmtId="0" fontId="45" fillId="0" borderId="2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0" borderId="2" xfId="0" applyNumberFormat="1" applyFont="1" applyBorder="1"/>
    <xf numFmtId="166" fontId="18" fillId="0" borderId="2" xfId="1" applyFont="1" applyFill="1" applyBorder="1"/>
    <xf numFmtId="0" fontId="5" fillId="0" borderId="2" xfId="0" applyFont="1" applyBorder="1" applyAlignment="1">
      <alignment horizontal="center"/>
    </xf>
    <xf numFmtId="43" fontId="5" fillId="0" borderId="4" xfId="0" applyNumberFormat="1" applyFont="1" applyBorder="1"/>
    <xf numFmtId="0" fontId="18" fillId="0" borderId="7" xfId="0" applyFont="1" applyBorder="1"/>
    <xf numFmtId="43" fontId="5" fillId="0" borderId="2" xfId="0" applyNumberFormat="1" applyFont="1" applyBorder="1"/>
    <xf numFmtId="4" fontId="17" fillId="0" borderId="2" xfId="0" applyNumberFormat="1" applyFont="1" applyBorder="1" applyAlignment="1">
      <alignment horizontal="right" vertical="center"/>
    </xf>
    <xf numFmtId="166" fontId="5" fillId="0" borderId="2" xfId="1" applyFont="1" applyFill="1" applyBorder="1"/>
    <xf numFmtId="0" fontId="17" fillId="0" borderId="4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4" fontId="33" fillId="0" borderId="4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43" fontId="3" fillId="4" borderId="2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6" fontId="2" fillId="0" borderId="2" xfId="1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7" fillId="0" borderId="0" xfId="2" applyFont="1" applyFill="1"/>
    <xf numFmtId="0" fontId="7" fillId="0" borderId="0" xfId="0" applyFont="1" applyAlignment="1">
      <alignment horizontal="center" wrapText="1"/>
    </xf>
    <xf numFmtId="166" fontId="7" fillId="0" borderId="0" xfId="1" applyFont="1" applyFill="1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43" fontId="7" fillId="0" borderId="2" xfId="2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43" fontId="7" fillId="0" borderId="3" xfId="2" applyFont="1" applyFill="1" applyBorder="1" applyAlignment="1">
      <alignment horizontal="center"/>
    </xf>
    <xf numFmtId="43" fontId="7" fillId="0" borderId="6" xfId="2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wrapText="1"/>
    </xf>
    <xf numFmtId="2" fontId="7" fillId="0" borderId="4" xfId="0" applyNumberFormat="1" applyFont="1" applyBorder="1" applyAlignment="1">
      <alignment horizontal="center"/>
    </xf>
    <xf numFmtId="43" fontId="7" fillId="0" borderId="2" xfId="2" applyFont="1" applyFill="1" applyBorder="1"/>
    <xf numFmtId="43" fontId="7" fillId="0" borderId="4" xfId="2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41" fontId="7" fillId="0" borderId="2" xfId="13" applyFont="1" applyFill="1" applyBorder="1" applyAlignment="1">
      <alignment horizontal="left" vertical="center"/>
    </xf>
    <xf numFmtId="2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43" fontId="7" fillId="0" borderId="9" xfId="2" applyFont="1" applyFill="1" applyBorder="1"/>
    <xf numFmtId="43" fontId="7" fillId="0" borderId="10" xfId="2" applyFont="1" applyFill="1" applyBorder="1"/>
    <xf numFmtId="2" fontId="7" fillId="0" borderId="9" xfId="0" applyNumberFormat="1" applyFont="1" applyBorder="1" applyAlignment="1">
      <alignment horizontal="center" wrapText="1"/>
    </xf>
    <xf numFmtId="41" fontId="7" fillId="0" borderId="4" xfId="13" applyFont="1" applyFill="1" applyBorder="1" applyAlignment="1">
      <alignment horizontal="left" vertical="center"/>
    </xf>
    <xf numFmtId="43" fontId="7" fillId="0" borderId="46" xfId="2" applyFont="1" applyFill="1" applyBorder="1"/>
    <xf numFmtId="2" fontId="7" fillId="0" borderId="45" xfId="0" applyNumberFormat="1" applyFont="1" applyBorder="1" applyAlignment="1">
      <alignment horizontal="center" wrapText="1"/>
    </xf>
    <xf numFmtId="43" fontId="7" fillId="0" borderId="3" xfId="2" applyFont="1" applyFill="1" applyBorder="1"/>
    <xf numFmtId="43" fontId="7" fillId="0" borderId="6" xfId="2" applyFont="1" applyFill="1" applyBorder="1"/>
    <xf numFmtId="43" fontId="7" fillId="0" borderId="4" xfId="2" applyFont="1" applyFill="1" applyBorder="1"/>
    <xf numFmtId="166" fontId="0" fillId="0" borderId="9" xfId="1" applyFont="1" applyBorder="1"/>
    <xf numFmtId="166" fontId="0" fillId="0" borderId="52" xfId="0" applyNumberFormat="1" applyBorder="1"/>
    <xf numFmtId="0" fontId="0" fillId="0" borderId="5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6" fontId="0" fillId="0" borderId="0" xfId="1" applyFont="1" applyAlignment="1">
      <alignment wrapText="1"/>
    </xf>
    <xf numFmtId="166" fontId="3" fillId="4" borderId="52" xfId="1" applyFont="1" applyFill="1" applyBorder="1" applyAlignment="1">
      <alignment horizontal="left" vertical="center"/>
    </xf>
    <xf numFmtId="43" fontId="23" fillId="4" borderId="0" xfId="0" applyNumberFormat="1" applyFont="1" applyFill="1"/>
    <xf numFmtId="20" fontId="2" fillId="4" borderId="2" xfId="0" applyNumberFormat="1" applyFont="1" applyFill="1" applyBorder="1" applyAlignment="1">
      <alignment horizontal="left" vertical="center"/>
    </xf>
    <xf numFmtId="43" fontId="0" fillId="4" borderId="0" xfId="0" applyNumberFormat="1" applyFill="1"/>
    <xf numFmtId="166" fontId="0" fillId="4" borderId="0" xfId="1" applyFont="1" applyFill="1"/>
    <xf numFmtId="0" fontId="2" fillId="4" borderId="9" xfId="0" applyFont="1" applyFill="1" applyBorder="1" applyAlignment="1">
      <alignment horizontal="center"/>
    </xf>
    <xf numFmtId="166" fontId="3" fillId="4" borderId="44" xfId="1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/>
    </xf>
    <xf numFmtId="166" fontId="0" fillId="4" borderId="52" xfId="0" applyNumberFormat="1" applyFill="1" applyBorder="1"/>
    <xf numFmtId="43" fontId="3" fillId="0" borderId="9" xfId="2" applyFont="1" applyFill="1" applyBorder="1" applyAlignment="1">
      <alignment horizontal="center"/>
    </xf>
    <xf numFmtId="43" fontId="3" fillId="0" borderId="41" xfId="2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1" fontId="3" fillId="0" borderId="6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41" fontId="3" fillId="0" borderId="2" xfId="13" applyFont="1" applyFill="1" applyBorder="1" applyAlignment="1">
      <alignment horizontal="left" vertical="center"/>
    </xf>
    <xf numFmtId="166" fontId="3" fillId="0" borderId="2" xfId="1" applyFont="1" applyFill="1" applyBorder="1" applyAlignment="1"/>
    <xf numFmtId="166" fontId="3" fillId="0" borderId="9" xfId="1" applyFont="1" applyFill="1" applyBorder="1" applyAlignment="1"/>
    <xf numFmtId="0" fontId="0" fillId="0" borderId="7" xfId="0" applyBorder="1"/>
    <xf numFmtId="43" fontId="0" fillId="0" borderId="41" xfId="0" applyNumberFormat="1" applyBorder="1"/>
    <xf numFmtId="43" fontId="3" fillId="0" borderId="6" xfId="2" applyFont="1" applyFill="1" applyBorder="1" applyAlignment="1"/>
    <xf numFmtId="43" fontId="3" fillId="0" borderId="8" xfId="2" applyFont="1" applyFill="1" applyBorder="1" applyAlignment="1"/>
    <xf numFmtId="43" fontId="3" fillId="0" borderId="3" xfId="2" applyFont="1" applyFill="1" applyBorder="1" applyAlignment="1"/>
    <xf numFmtId="43" fontId="0" fillId="0" borderId="3" xfId="0" applyNumberFormat="1" applyBorder="1"/>
    <xf numFmtId="0" fontId="12" fillId="0" borderId="9" xfId="0" applyFont="1" applyBorder="1" applyAlignment="1">
      <alignment horizontal="center" vertical="center"/>
    </xf>
    <xf numFmtId="166" fontId="3" fillId="0" borderId="51" xfId="1" applyFont="1" applyFill="1" applyBorder="1" applyAlignment="1">
      <alignment horizontal="left" vertical="center"/>
    </xf>
    <xf numFmtId="166" fontId="15" fillId="0" borderId="3" xfId="1" applyFont="1" applyFill="1" applyBorder="1" applyAlignment="1">
      <alignment horizontal="left" vertical="center" wrapText="1"/>
    </xf>
    <xf numFmtId="166" fontId="15" fillId="0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left" vertical="center" wrapText="1"/>
    </xf>
    <xf numFmtId="174" fontId="3" fillId="0" borderId="3" xfId="18" applyNumberFormat="1" applyFont="1" applyBorder="1" applyAlignment="1">
      <alignment horizontal="center" vertical="center"/>
    </xf>
    <xf numFmtId="0" fontId="3" fillId="0" borderId="6" xfId="0" applyFont="1" applyBorder="1"/>
    <xf numFmtId="174" fontId="3" fillId="0" borderId="3" xfId="18" applyNumberFormat="1" applyFont="1" applyFill="1" applyBorder="1" applyAlignment="1">
      <alignment horizontal="center" vertical="center"/>
    </xf>
    <xf numFmtId="43" fontId="51" fillId="4" borderId="2" xfId="6" applyFont="1" applyFill="1" applyBorder="1" applyAlignment="1">
      <alignment horizontal="left" vertical="justify"/>
    </xf>
    <xf numFmtId="166" fontId="3" fillId="4" borderId="22" xfId="1" applyFont="1" applyFill="1" applyBorder="1" applyAlignment="1">
      <alignment horizontal="left" vertical="center"/>
    </xf>
    <xf numFmtId="169" fontId="51" fillId="4" borderId="50" xfId="7" applyNumberFormat="1" applyFont="1" applyFill="1" applyBorder="1" applyAlignment="1">
      <alignment horizontal="center" vertical="center"/>
    </xf>
    <xf numFmtId="43" fontId="51" fillId="4" borderId="9" xfId="6" applyFont="1" applyFill="1" applyBorder="1" applyAlignment="1">
      <alignment horizontal="left" vertical="justify"/>
    </xf>
    <xf numFmtId="166" fontId="3" fillId="4" borderId="15" xfId="1" applyFont="1" applyFill="1" applyBorder="1" applyAlignment="1">
      <alignment horizontal="left" vertical="center"/>
    </xf>
    <xf numFmtId="169" fontId="51" fillId="4" borderId="50" xfId="6" applyNumberFormat="1" applyFont="1" applyFill="1" applyBorder="1" applyAlignment="1">
      <alignment horizontal="center" vertical="center"/>
    </xf>
    <xf numFmtId="43" fontId="23" fillId="4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9" fillId="0" borderId="4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4" fontId="47" fillId="0" borderId="2" xfId="0" applyNumberFormat="1" applyFont="1" applyBorder="1"/>
    <xf numFmtId="178" fontId="0" fillId="0" borderId="2" xfId="1" applyNumberFormat="1" applyFont="1" applyBorder="1" applyAlignment="1">
      <alignment vertical="center"/>
    </xf>
    <xf numFmtId="166" fontId="3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3" fontId="3" fillId="0" borderId="4" xfId="2" applyFont="1" applyFill="1" applyBorder="1" applyAlignment="1">
      <alignment horizontal="center"/>
    </xf>
    <xf numFmtId="43" fontId="3" fillId="0" borderId="5" xfId="2" applyFont="1" applyFill="1" applyBorder="1" applyAlignment="1">
      <alignment horizontal="center"/>
    </xf>
    <xf numFmtId="43" fontId="3" fillId="0" borderId="7" xfId="2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6" fontId="15" fillId="0" borderId="13" xfId="1" applyFont="1" applyFill="1" applyBorder="1" applyAlignment="1">
      <alignment horizontal="center" vertical="center" wrapText="1"/>
    </xf>
    <xf numFmtId="166" fontId="15" fillId="0" borderId="39" xfId="1" applyFont="1" applyFill="1" applyBorder="1" applyAlignment="1">
      <alignment horizontal="center" vertical="center" wrapText="1"/>
    </xf>
    <xf numFmtId="166" fontId="15" fillId="0" borderId="40" xfId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39" xfId="0" applyFont="1" applyFill="1" applyBorder="1" applyAlignment="1">
      <alignment horizontal="center"/>
    </xf>
    <xf numFmtId="0" fontId="15" fillId="5" borderId="40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4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166" fontId="15" fillId="4" borderId="13" xfId="1" applyFont="1" applyFill="1" applyBorder="1" applyAlignment="1">
      <alignment horizontal="center" vertical="center" wrapText="1"/>
    </xf>
    <xf numFmtId="166" fontId="15" fillId="4" borderId="39" xfId="1" applyFont="1" applyFill="1" applyBorder="1" applyAlignment="1">
      <alignment horizontal="center" vertical="center" wrapText="1"/>
    </xf>
    <xf numFmtId="166" fontId="15" fillId="4" borderId="40" xfId="1" applyFont="1" applyFill="1" applyBorder="1" applyAlignment="1">
      <alignment horizontal="center" vertical="center" wrapText="1"/>
    </xf>
    <xf numFmtId="166" fontId="15" fillId="0" borderId="51" xfId="1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166" fontId="15" fillId="4" borderId="51" xfId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166" fontId="15" fillId="4" borderId="42" xfId="1" applyFont="1" applyFill="1" applyBorder="1" applyAlignment="1">
      <alignment horizontal="center" vertical="center" wrapText="1"/>
    </xf>
    <xf numFmtId="166" fontId="15" fillId="4" borderId="24" xfId="1" applyFont="1" applyFill="1" applyBorder="1" applyAlignment="1">
      <alignment horizontal="center" vertical="center" wrapText="1"/>
    </xf>
    <xf numFmtId="166" fontId="15" fillId="4" borderId="43" xfId="1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43" fontId="23" fillId="0" borderId="4" xfId="0" applyNumberFormat="1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 wrapText="1"/>
    </xf>
    <xf numFmtId="0" fontId="44" fillId="0" borderId="3" xfId="0" applyFont="1" applyBorder="1" applyAlignment="1">
      <alignment horizontal="center" wrapText="1"/>
    </xf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3" fontId="3" fillId="5" borderId="0" xfId="0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3" fontId="7" fillId="0" borderId="2" xfId="2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2" fontId="7" fillId="0" borderId="4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43" fontId="3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6" borderId="0" xfId="0" applyFont="1" applyFill="1" applyAlignment="1">
      <alignment horizontal="center"/>
    </xf>
    <xf numFmtId="43" fontId="3" fillId="6" borderId="0" xfId="0" applyNumberFormat="1" applyFont="1" applyFill="1" applyAlignment="1">
      <alignment horizontal="center"/>
    </xf>
    <xf numFmtId="166" fontId="15" fillId="0" borderId="47" xfId="1" applyFont="1" applyFill="1" applyBorder="1" applyAlignment="1">
      <alignment horizontal="center" vertical="center" wrapText="1"/>
    </xf>
    <xf numFmtId="166" fontId="15" fillId="0" borderId="48" xfId="1" applyFont="1" applyFill="1" applyBorder="1" applyAlignment="1">
      <alignment horizontal="center" vertical="center" wrapText="1"/>
    </xf>
    <xf numFmtId="166" fontId="15" fillId="0" borderId="49" xfId="1" applyFont="1" applyFill="1" applyBorder="1" applyAlignment="1">
      <alignment horizontal="center" vertical="center" wrapText="1"/>
    </xf>
    <xf numFmtId="166" fontId="15" fillId="0" borderId="0" xfId="1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41" fillId="0" borderId="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12" fillId="0" borderId="2" xfId="0" applyFont="1" applyBorder="1" applyAlignment="1">
      <alignment horizontal="center"/>
    </xf>
    <xf numFmtId="43" fontId="3" fillId="4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5" borderId="0" xfId="0" applyFont="1" applyFill="1" applyAlignment="1">
      <alignment horizontal="center"/>
    </xf>
    <xf numFmtId="166" fontId="15" fillId="5" borderId="13" xfId="1" applyFont="1" applyFill="1" applyBorder="1" applyAlignment="1">
      <alignment horizontal="center" vertical="center" wrapText="1"/>
    </xf>
    <xf numFmtId="166" fontId="15" fillId="5" borderId="39" xfId="1" applyFont="1" applyFill="1" applyBorder="1" applyAlignment="1">
      <alignment horizontal="center" vertical="center" wrapText="1"/>
    </xf>
    <xf numFmtId="166" fontId="15" fillId="5" borderId="40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39" xfId="0" applyNumberFormat="1" applyFont="1" applyFill="1" applyBorder="1" applyAlignment="1">
      <alignment horizontal="center"/>
    </xf>
    <xf numFmtId="2" fontId="3" fillId="4" borderId="40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5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55" fillId="0" borderId="2" xfId="0" applyFont="1" applyBorder="1" applyAlignment="1">
      <alignment horizontal="center" vertical="center"/>
    </xf>
    <xf numFmtId="166" fontId="0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9" xfId="0" applyFont="1" applyBorder="1" applyAlignment="1">
      <alignment horizontal="center"/>
    </xf>
    <xf numFmtId="0" fontId="35" fillId="0" borderId="0" xfId="14" applyFont="1" applyAlignment="1">
      <alignment horizontal="center"/>
    </xf>
    <xf numFmtId="0" fontId="35" fillId="0" borderId="20" xfId="14" applyFont="1" applyBorder="1" applyAlignment="1">
      <alignment horizontal="center" vertical="center"/>
    </xf>
    <xf numFmtId="0" fontId="35" fillId="0" borderId="26" xfId="14" applyFont="1" applyBorder="1" applyAlignment="1">
      <alignment horizontal="center" vertical="center"/>
    </xf>
    <xf numFmtId="0" fontId="35" fillId="0" borderId="28" xfId="14" applyFont="1" applyBorder="1" applyAlignment="1">
      <alignment horizontal="center" vertical="center"/>
    </xf>
    <xf numFmtId="0" fontId="35" fillId="0" borderId="21" xfId="14" applyFont="1" applyBorder="1" applyAlignment="1">
      <alignment horizontal="left" vertical="center" wrapText="1"/>
    </xf>
    <xf numFmtId="0" fontId="35" fillId="0" borderId="17" xfId="14" applyFont="1" applyBorder="1" applyAlignment="1">
      <alignment horizontal="left" vertical="center" wrapText="1"/>
    </xf>
    <xf numFmtId="0" fontId="35" fillId="0" borderId="3" xfId="14" applyFont="1" applyBorder="1" applyAlignment="1">
      <alignment horizontal="left" vertical="center" wrapText="1"/>
    </xf>
    <xf numFmtId="0" fontId="35" fillId="0" borderId="29" xfId="14" applyFont="1" applyBorder="1" applyAlignment="1">
      <alignment horizontal="right" vertical="center"/>
    </xf>
    <xf numFmtId="0" fontId="35" fillId="0" borderId="5" xfId="14" applyFont="1" applyBorder="1" applyAlignment="1">
      <alignment horizontal="right" vertical="center"/>
    </xf>
    <xf numFmtId="0" fontId="35" fillId="0" borderId="7" xfId="14" applyFont="1" applyBorder="1" applyAlignment="1">
      <alignment horizontal="right" vertical="center"/>
    </xf>
    <xf numFmtId="0" fontId="35" fillId="0" borderId="35" xfId="14" applyFont="1" applyBorder="1" applyAlignment="1">
      <alignment horizontal="right" vertical="center"/>
    </xf>
    <xf numFmtId="0" fontId="35" fillId="0" borderId="36" xfId="14" applyFont="1" applyBorder="1" applyAlignment="1">
      <alignment horizontal="right" vertical="center"/>
    </xf>
    <xf numFmtId="0" fontId="31" fillId="0" borderId="0" xfId="0" applyFont="1" applyAlignment="1">
      <alignment horizontal="center"/>
    </xf>
    <xf numFmtId="0" fontId="35" fillId="0" borderId="30" xfId="14" applyFont="1" applyBorder="1" applyAlignment="1">
      <alignment horizontal="center" vertical="center"/>
    </xf>
    <xf numFmtId="0" fontId="35" fillId="0" borderId="31" xfId="14" applyFont="1" applyBorder="1" applyAlignment="1">
      <alignment horizontal="center" vertical="center"/>
    </xf>
    <xf numFmtId="0" fontId="35" fillId="0" borderId="32" xfId="14" applyFont="1" applyBorder="1" applyAlignment="1">
      <alignment horizontal="center" vertical="center"/>
    </xf>
    <xf numFmtId="0" fontId="35" fillId="0" borderId="11" xfId="14" applyFont="1" applyBorder="1" applyAlignment="1">
      <alignment horizontal="center" vertical="center" wrapText="1"/>
    </xf>
    <xf numFmtId="0" fontId="35" fillId="0" borderId="19" xfId="14" applyFont="1" applyBorder="1" applyAlignment="1">
      <alignment horizontal="center" vertical="center" wrapText="1"/>
    </xf>
    <xf numFmtId="0" fontId="35" fillId="0" borderId="8" xfId="14" applyFont="1" applyBorder="1" applyAlignment="1">
      <alignment horizontal="center" vertical="center" wrapText="1"/>
    </xf>
    <xf numFmtId="0" fontId="35" fillId="0" borderId="34" xfId="14" applyFont="1" applyBorder="1" applyAlignment="1">
      <alignment horizontal="center" vertical="center"/>
    </xf>
    <xf numFmtId="0" fontId="35" fillId="0" borderId="9" xfId="14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1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9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6" fillId="0" borderId="2" xfId="0" applyFont="1" applyBorder="1" applyAlignment="1">
      <alignment horizontal="center"/>
    </xf>
    <xf numFmtId="0" fontId="31" fillId="0" borderId="17" xfId="0" applyFont="1" applyBorder="1" applyAlignment="1">
      <alignment horizontal="center" vertical="top"/>
    </xf>
    <xf numFmtId="0" fontId="31" fillId="0" borderId="17" xfId="0" applyFont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31" fillId="0" borderId="9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32" fillId="0" borderId="9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66" fontId="32" fillId="0" borderId="2" xfId="1" applyFont="1" applyBorder="1" applyAlignment="1">
      <alignment horizontal="center" vertical="center"/>
    </xf>
    <xf numFmtId="166" fontId="32" fillId="0" borderId="17" xfId="1" applyFont="1" applyBorder="1" applyAlignment="1">
      <alignment horizontal="center" vertical="center"/>
    </xf>
    <xf numFmtId="166" fontId="32" fillId="0" borderId="3" xfId="1" applyFont="1" applyBorder="1" applyAlignment="1">
      <alignment horizontal="center" vertical="center"/>
    </xf>
    <xf numFmtId="166" fontId="32" fillId="0" borderId="17" xfId="1" applyFont="1" applyBorder="1" applyAlignment="1">
      <alignment horizontal="center" vertical="center" wrapText="1"/>
    </xf>
    <xf numFmtId="166" fontId="32" fillId="0" borderId="3" xfId="1" applyFont="1" applyBorder="1" applyAlignment="1">
      <alignment horizontal="center" vertical="center" wrapText="1"/>
    </xf>
    <xf numFmtId="166" fontId="32" fillId="0" borderId="6" xfId="1" applyFont="1" applyBorder="1" applyAlignment="1">
      <alignment horizontal="center" vertical="center"/>
    </xf>
    <xf numFmtId="166" fontId="32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1" applyFont="1" applyBorder="1" applyAlignment="1">
      <alignment horizontal="center" vertical="center"/>
    </xf>
    <xf numFmtId="166" fontId="0" fillId="0" borderId="2" xfId="1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31" fillId="0" borderId="9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25" fillId="0" borderId="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/>
    </xf>
  </cellXfs>
  <cellStyles count="20">
    <cellStyle name="Comma" xfId="1" builtinId="3"/>
    <cellStyle name="Comma [0]" xfId="18" builtinId="6"/>
    <cellStyle name="Comma [0] 15" xfId="13" xr:uid="{00000000-0005-0000-0000-000002000000}"/>
    <cellStyle name="Comma [0] 2" xfId="11" xr:uid="{00000000-0005-0000-0000-000003000000}"/>
    <cellStyle name="Comma [0] 3" xfId="15" xr:uid="{00000000-0005-0000-0000-000004000000}"/>
    <cellStyle name="Comma 10 2" xfId="2" xr:uid="{00000000-0005-0000-0000-000005000000}"/>
    <cellStyle name="Comma 2" xfId="10" xr:uid="{00000000-0005-0000-0000-000006000000}"/>
    <cellStyle name="Comma 2 2 2" xfId="12" xr:uid="{00000000-0005-0000-0000-000007000000}"/>
    <cellStyle name="Comma 2 2 5" xfId="7" xr:uid="{00000000-0005-0000-0000-000008000000}"/>
    <cellStyle name="Comma 2 9" xfId="6" xr:uid="{00000000-0005-0000-0000-000009000000}"/>
    <cellStyle name="Comma 58" xfId="16" xr:uid="{00000000-0005-0000-0000-00000A000000}"/>
    <cellStyle name="Comma 59" xfId="17" xr:uid="{00000000-0005-0000-0000-00000B000000}"/>
    <cellStyle name="Normal" xfId="0" builtinId="0"/>
    <cellStyle name="Normal - Style1 2" xfId="4" xr:uid="{00000000-0005-0000-0000-00000D000000}"/>
    <cellStyle name="Normal 14" xfId="8" xr:uid="{00000000-0005-0000-0000-00000E000000}"/>
    <cellStyle name="Normal 2" xfId="9" xr:uid="{00000000-0005-0000-0000-00000F000000}"/>
    <cellStyle name="Normal 2 2" xfId="3" xr:uid="{00000000-0005-0000-0000-000010000000}"/>
    <cellStyle name="Normal 3" xfId="14" xr:uid="{00000000-0005-0000-0000-000011000000}"/>
    <cellStyle name="Normal 3 5" xfId="5" xr:uid="{00000000-0005-0000-0000-000012000000}"/>
    <cellStyle name="Percent" xfId="1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7.jpeg"/><Relationship Id="rId3" Type="http://schemas.openxmlformats.org/officeDocument/2006/relationships/image" Target="../media/image10.jpeg"/><Relationship Id="rId7" Type="http://schemas.openxmlformats.org/officeDocument/2006/relationships/image" Target="../media/image5.jpeg"/><Relationship Id="rId12" Type="http://schemas.openxmlformats.org/officeDocument/2006/relationships/image" Target="../media/image15.pn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6" Type="http://schemas.openxmlformats.org/officeDocument/2006/relationships/image" Target="../media/image3.jpeg"/><Relationship Id="rId11" Type="http://schemas.openxmlformats.org/officeDocument/2006/relationships/image" Target="../media/image14.jpeg"/><Relationship Id="rId5" Type="http://schemas.openxmlformats.org/officeDocument/2006/relationships/image" Target="../media/image2.jpeg"/><Relationship Id="rId15" Type="http://schemas.openxmlformats.org/officeDocument/2006/relationships/image" Target="../media/image11.jpeg"/><Relationship Id="rId10" Type="http://schemas.openxmlformats.org/officeDocument/2006/relationships/image" Target="../media/image13.jpeg"/><Relationship Id="rId4" Type="http://schemas.openxmlformats.org/officeDocument/2006/relationships/image" Target="../media/image4.jpeg"/><Relationship Id="rId9" Type="http://schemas.openxmlformats.org/officeDocument/2006/relationships/image" Target="../media/image12.jpeg"/><Relationship Id="rId1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1341676</xdr:colOff>
      <xdr:row>11</xdr:row>
      <xdr:rowOff>66385</xdr:rowOff>
    </xdr:from>
    <xdr:ext cx="545064" cy="658528"/>
    <xdr:pic>
      <xdr:nvPicPr>
        <xdr:cNvPr id="2" name="Picture 1">
          <a:extLst>
            <a:ext uri="{FF2B5EF4-FFF2-40B4-BE49-F238E27FC236}">
              <a16:creationId xmlns:a16="http://schemas.microsoft.com/office/drawing/2014/main" id="{9172097E-FAD9-4FE5-B59D-E09CAB92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0945185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11</xdr:row>
      <xdr:rowOff>93406</xdr:rowOff>
    </xdr:from>
    <xdr:ext cx="540448" cy="633846"/>
    <xdr:pic>
      <xdr:nvPicPr>
        <xdr:cNvPr id="3" name="Picture 2">
          <a:extLst>
            <a:ext uri="{FF2B5EF4-FFF2-40B4-BE49-F238E27FC236}">
              <a16:creationId xmlns:a16="http://schemas.microsoft.com/office/drawing/2014/main" id="{9C45EFD6-D0B8-4876-9EAA-C1565899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0972206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11</xdr:row>
      <xdr:rowOff>81035</xdr:rowOff>
    </xdr:from>
    <xdr:ext cx="575501" cy="673806"/>
    <xdr:pic>
      <xdr:nvPicPr>
        <xdr:cNvPr id="4" name="Picture 3">
          <a:extLst>
            <a:ext uri="{FF2B5EF4-FFF2-40B4-BE49-F238E27FC236}">
              <a16:creationId xmlns:a16="http://schemas.microsoft.com/office/drawing/2014/main" id="{6C7215BB-49F5-4559-9290-F9018F8A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0959835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12</xdr:row>
      <xdr:rowOff>66385</xdr:rowOff>
    </xdr:from>
    <xdr:ext cx="545064" cy="658528"/>
    <xdr:pic>
      <xdr:nvPicPr>
        <xdr:cNvPr id="5" name="Picture 4">
          <a:extLst>
            <a:ext uri="{FF2B5EF4-FFF2-40B4-BE49-F238E27FC236}">
              <a16:creationId xmlns:a16="http://schemas.microsoft.com/office/drawing/2014/main" id="{4E43E1B1-DDE5-48F2-B7D4-FA4DD8C1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1395" y="31620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12</xdr:row>
      <xdr:rowOff>93406</xdr:rowOff>
    </xdr:from>
    <xdr:ext cx="540448" cy="633846"/>
    <xdr:pic>
      <xdr:nvPicPr>
        <xdr:cNvPr id="6" name="Picture 5">
          <a:extLst>
            <a:ext uri="{FF2B5EF4-FFF2-40B4-BE49-F238E27FC236}">
              <a16:creationId xmlns:a16="http://schemas.microsoft.com/office/drawing/2014/main" id="{BE19016F-B4E5-4C1D-92A2-F47C3C01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55" y="31890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12</xdr:row>
      <xdr:rowOff>81035</xdr:rowOff>
    </xdr:from>
    <xdr:ext cx="575501" cy="673806"/>
    <xdr:pic>
      <xdr:nvPicPr>
        <xdr:cNvPr id="7" name="Picture 6">
          <a:extLst>
            <a:ext uri="{FF2B5EF4-FFF2-40B4-BE49-F238E27FC236}">
              <a16:creationId xmlns:a16="http://schemas.microsoft.com/office/drawing/2014/main" id="{42CBE0DA-16E6-4C35-9A3B-A61E182B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741" y="317666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13</xdr:row>
      <xdr:rowOff>66385</xdr:rowOff>
    </xdr:from>
    <xdr:ext cx="545064" cy="658528"/>
    <xdr:pic>
      <xdr:nvPicPr>
        <xdr:cNvPr id="8" name="Picture 7">
          <a:extLst>
            <a:ext uri="{FF2B5EF4-FFF2-40B4-BE49-F238E27FC236}">
              <a16:creationId xmlns:a16="http://schemas.microsoft.com/office/drawing/2014/main" id="{50B57B98-53D6-4A61-BFD7-5B4AFD283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1395" y="31620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13</xdr:row>
      <xdr:rowOff>93406</xdr:rowOff>
    </xdr:from>
    <xdr:ext cx="540448" cy="633846"/>
    <xdr:pic>
      <xdr:nvPicPr>
        <xdr:cNvPr id="9" name="Picture 8">
          <a:extLst>
            <a:ext uri="{FF2B5EF4-FFF2-40B4-BE49-F238E27FC236}">
              <a16:creationId xmlns:a16="http://schemas.microsoft.com/office/drawing/2014/main" id="{AC982184-242B-4E81-9067-1F1B200D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55" y="31890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13</xdr:row>
      <xdr:rowOff>81035</xdr:rowOff>
    </xdr:from>
    <xdr:ext cx="575501" cy="673806"/>
    <xdr:pic>
      <xdr:nvPicPr>
        <xdr:cNvPr id="10" name="Picture 9">
          <a:extLst>
            <a:ext uri="{FF2B5EF4-FFF2-40B4-BE49-F238E27FC236}">
              <a16:creationId xmlns:a16="http://schemas.microsoft.com/office/drawing/2014/main" id="{0B3270EA-57B0-43BA-8ECD-F789EF53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741" y="3176660"/>
          <a:ext cx="575501" cy="673806"/>
        </a:xfrm>
        <a:prstGeom prst="rect">
          <a:avLst/>
        </a:prstGeom>
      </xdr:spPr>
    </xdr:pic>
    <xdr:clientData/>
  </xdr:oneCellAnchor>
  <xdr:twoCellAnchor editAs="oneCell">
    <xdr:from>
      <xdr:col>4</xdr:col>
      <xdr:colOff>85066</xdr:colOff>
      <xdr:row>19</xdr:row>
      <xdr:rowOff>314457</xdr:rowOff>
    </xdr:from>
    <xdr:to>
      <xdr:col>4</xdr:col>
      <xdr:colOff>640168</xdr:colOff>
      <xdr:row>19</xdr:row>
      <xdr:rowOff>927905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969AFC-709E-40FA-BE86-6B9A7B02D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91" y="33137607"/>
          <a:ext cx="555102" cy="613448"/>
        </a:xfrm>
        <a:prstGeom prst="rect">
          <a:avLst/>
        </a:prstGeom>
      </xdr:spPr>
    </xdr:pic>
    <xdr:clientData/>
  </xdr:twoCellAnchor>
  <xdr:twoCellAnchor editAs="oneCell">
    <xdr:from>
      <xdr:col>4</xdr:col>
      <xdr:colOff>680660</xdr:colOff>
      <xdr:row>19</xdr:row>
      <xdr:rowOff>309006</xdr:rowOff>
    </xdr:from>
    <xdr:to>
      <xdr:col>4</xdr:col>
      <xdr:colOff>1240781</xdr:colOff>
      <xdr:row>19</xdr:row>
      <xdr:rowOff>956828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E39D095-F5BB-4161-9284-682A0749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185" y="33132156"/>
          <a:ext cx="560121" cy="647822"/>
        </a:xfrm>
        <a:prstGeom prst="rect">
          <a:avLst/>
        </a:prstGeom>
      </xdr:spPr>
    </xdr:pic>
    <xdr:clientData/>
  </xdr:twoCellAnchor>
  <xdr:twoCellAnchor editAs="oneCell">
    <xdr:from>
      <xdr:col>4</xdr:col>
      <xdr:colOff>85066</xdr:colOff>
      <xdr:row>20</xdr:row>
      <xdr:rowOff>314457</xdr:rowOff>
    </xdr:from>
    <xdr:to>
      <xdr:col>4</xdr:col>
      <xdr:colOff>640168</xdr:colOff>
      <xdr:row>20</xdr:row>
      <xdr:rowOff>927905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41CDFF0-0BFB-4D80-A8B5-44349E62A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91" y="33137607"/>
          <a:ext cx="555102" cy="613448"/>
        </a:xfrm>
        <a:prstGeom prst="rect">
          <a:avLst/>
        </a:prstGeom>
      </xdr:spPr>
    </xdr:pic>
    <xdr:clientData/>
  </xdr:twoCellAnchor>
  <xdr:twoCellAnchor editAs="oneCell">
    <xdr:from>
      <xdr:col>4</xdr:col>
      <xdr:colOff>680660</xdr:colOff>
      <xdr:row>20</xdr:row>
      <xdr:rowOff>309006</xdr:rowOff>
    </xdr:from>
    <xdr:to>
      <xdr:col>4</xdr:col>
      <xdr:colOff>1240781</xdr:colOff>
      <xdr:row>20</xdr:row>
      <xdr:rowOff>956828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4CBDB5-B90B-4129-8B7D-2AEB4A1CD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185" y="33132156"/>
          <a:ext cx="560121" cy="64782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154781</xdr:rowOff>
    </xdr:from>
    <xdr:to>
      <xdr:col>4</xdr:col>
      <xdr:colOff>650352</xdr:colOff>
      <xdr:row>21</xdr:row>
      <xdr:rowOff>768229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C66BA1-37C7-4353-B4DC-E826A1E6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1418094"/>
          <a:ext cx="555102" cy="613448"/>
        </a:xfrm>
        <a:prstGeom prst="rect">
          <a:avLst/>
        </a:prstGeom>
      </xdr:spPr>
    </xdr:pic>
    <xdr:clientData/>
  </xdr:twoCellAnchor>
  <xdr:oneCellAnchor>
    <xdr:from>
      <xdr:col>4</xdr:col>
      <xdr:colOff>95250</xdr:colOff>
      <xdr:row>22</xdr:row>
      <xdr:rowOff>154781</xdr:rowOff>
    </xdr:from>
    <xdr:ext cx="555102" cy="613448"/>
    <xdr:pic>
      <xdr:nvPicPr>
        <xdr:cNvPr id="16" name="Picture 15">
          <a:extLst>
            <a:ext uri="{FF2B5EF4-FFF2-40B4-BE49-F238E27FC236}">
              <a16:creationId xmlns:a16="http://schemas.microsoft.com/office/drawing/2014/main" id="{C91474C4-62EF-462C-939D-BD84C38D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1418094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23</xdr:row>
      <xdr:rowOff>154781</xdr:rowOff>
    </xdr:from>
    <xdr:ext cx="555102" cy="613448"/>
    <xdr:pic>
      <xdr:nvPicPr>
        <xdr:cNvPr id="17" name="Picture 16">
          <a:extLst>
            <a:ext uri="{FF2B5EF4-FFF2-40B4-BE49-F238E27FC236}">
              <a16:creationId xmlns:a16="http://schemas.microsoft.com/office/drawing/2014/main" id="{2B0F3E68-4282-413D-9669-AABEC9C94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1418094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24</xdr:row>
      <xdr:rowOff>154781</xdr:rowOff>
    </xdr:from>
    <xdr:ext cx="555102" cy="613448"/>
    <xdr:pic>
      <xdr:nvPicPr>
        <xdr:cNvPr id="18" name="Picture 17">
          <a:extLst>
            <a:ext uri="{FF2B5EF4-FFF2-40B4-BE49-F238E27FC236}">
              <a16:creationId xmlns:a16="http://schemas.microsoft.com/office/drawing/2014/main" id="{43472ABB-8801-4C97-B267-555EC58C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1418094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25</xdr:row>
      <xdr:rowOff>154781</xdr:rowOff>
    </xdr:from>
    <xdr:ext cx="555102" cy="613448"/>
    <xdr:pic>
      <xdr:nvPicPr>
        <xdr:cNvPr id="19" name="Picture 18">
          <a:extLst>
            <a:ext uri="{FF2B5EF4-FFF2-40B4-BE49-F238E27FC236}">
              <a16:creationId xmlns:a16="http://schemas.microsoft.com/office/drawing/2014/main" id="{56E55B2B-FB60-4D32-A546-3F1A9FE05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1418094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26</xdr:row>
      <xdr:rowOff>154781</xdr:rowOff>
    </xdr:from>
    <xdr:ext cx="555102" cy="613448"/>
    <xdr:pic>
      <xdr:nvPicPr>
        <xdr:cNvPr id="20" name="Picture 19">
          <a:extLst>
            <a:ext uri="{FF2B5EF4-FFF2-40B4-BE49-F238E27FC236}">
              <a16:creationId xmlns:a16="http://schemas.microsoft.com/office/drawing/2014/main" id="{DE08ADB1-AE85-4AFC-8A65-D5062E9A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27</xdr:row>
      <xdr:rowOff>154781</xdr:rowOff>
    </xdr:from>
    <xdr:ext cx="555102" cy="613448"/>
    <xdr:pic>
      <xdr:nvPicPr>
        <xdr:cNvPr id="21" name="Picture 20">
          <a:extLst>
            <a:ext uri="{FF2B5EF4-FFF2-40B4-BE49-F238E27FC236}">
              <a16:creationId xmlns:a16="http://schemas.microsoft.com/office/drawing/2014/main" id="{E6633CC0-5E40-40DE-9CC9-DA9662554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29</xdr:row>
      <xdr:rowOff>154781</xdr:rowOff>
    </xdr:from>
    <xdr:ext cx="555102" cy="613448"/>
    <xdr:pic>
      <xdr:nvPicPr>
        <xdr:cNvPr id="22" name="Picture 21">
          <a:extLst>
            <a:ext uri="{FF2B5EF4-FFF2-40B4-BE49-F238E27FC236}">
              <a16:creationId xmlns:a16="http://schemas.microsoft.com/office/drawing/2014/main" id="{AE0F5F6A-7220-4B67-A6B7-DF8CB4CC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30</xdr:row>
      <xdr:rowOff>154781</xdr:rowOff>
    </xdr:from>
    <xdr:ext cx="555102" cy="613448"/>
    <xdr:pic>
      <xdr:nvPicPr>
        <xdr:cNvPr id="23" name="Picture 22">
          <a:extLst>
            <a:ext uri="{FF2B5EF4-FFF2-40B4-BE49-F238E27FC236}">
              <a16:creationId xmlns:a16="http://schemas.microsoft.com/office/drawing/2014/main" id="{F227F6BD-2D04-4612-92E8-340CE3F2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31</xdr:row>
      <xdr:rowOff>154781</xdr:rowOff>
    </xdr:from>
    <xdr:ext cx="555102" cy="613448"/>
    <xdr:pic>
      <xdr:nvPicPr>
        <xdr:cNvPr id="24" name="Picture 23">
          <a:extLst>
            <a:ext uri="{FF2B5EF4-FFF2-40B4-BE49-F238E27FC236}">
              <a16:creationId xmlns:a16="http://schemas.microsoft.com/office/drawing/2014/main" id="{4291876D-27B6-432A-9B15-889953B7F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32</xdr:row>
      <xdr:rowOff>154781</xdr:rowOff>
    </xdr:from>
    <xdr:ext cx="555102" cy="613448"/>
    <xdr:pic>
      <xdr:nvPicPr>
        <xdr:cNvPr id="25" name="Picture 24">
          <a:extLst>
            <a:ext uri="{FF2B5EF4-FFF2-40B4-BE49-F238E27FC236}">
              <a16:creationId xmlns:a16="http://schemas.microsoft.com/office/drawing/2014/main" id="{76D7BE1A-84DF-4863-B628-8914B54A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33</xdr:row>
      <xdr:rowOff>154781</xdr:rowOff>
    </xdr:from>
    <xdr:ext cx="555102" cy="613448"/>
    <xdr:pic>
      <xdr:nvPicPr>
        <xdr:cNvPr id="26" name="Picture 25">
          <a:extLst>
            <a:ext uri="{FF2B5EF4-FFF2-40B4-BE49-F238E27FC236}">
              <a16:creationId xmlns:a16="http://schemas.microsoft.com/office/drawing/2014/main" id="{37DF0200-DED4-49F4-A967-72BE34C7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34</xdr:row>
      <xdr:rowOff>154781</xdr:rowOff>
    </xdr:from>
    <xdr:ext cx="555102" cy="613448"/>
    <xdr:pic>
      <xdr:nvPicPr>
        <xdr:cNvPr id="27" name="Picture 26">
          <a:extLst>
            <a:ext uri="{FF2B5EF4-FFF2-40B4-BE49-F238E27FC236}">
              <a16:creationId xmlns:a16="http://schemas.microsoft.com/office/drawing/2014/main" id="{6D8A1B25-D713-4857-9212-C0E428BD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35</xdr:row>
      <xdr:rowOff>154781</xdr:rowOff>
    </xdr:from>
    <xdr:ext cx="555102" cy="613448"/>
    <xdr:pic>
      <xdr:nvPicPr>
        <xdr:cNvPr id="28" name="Picture 27">
          <a:extLst>
            <a:ext uri="{FF2B5EF4-FFF2-40B4-BE49-F238E27FC236}">
              <a16:creationId xmlns:a16="http://schemas.microsoft.com/office/drawing/2014/main" id="{B0C9FD8C-BE42-4BCC-A5AD-014A22818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36</xdr:row>
      <xdr:rowOff>154781</xdr:rowOff>
    </xdr:from>
    <xdr:ext cx="555102" cy="613448"/>
    <xdr:pic>
      <xdr:nvPicPr>
        <xdr:cNvPr id="29" name="Picture 28">
          <a:extLst>
            <a:ext uri="{FF2B5EF4-FFF2-40B4-BE49-F238E27FC236}">
              <a16:creationId xmlns:a16="http://schemas.microsoft.com/office/drawing/2014/main" id="{7566B1B9-BA6B-4625-8CC1-A7E31508E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37</xdr:row>
      <xdr:rowOff>154781</xdr:rowOff>
    </xdr:from>
    <xdr:ext cx="555102" cy="613448"/>
    <xdr:pic>
      <xdr:nvPicPr>
        <xdr:cNvPr id="30" name="Picture 29">
          <a:extLst>
            <a:ext uri="{FF2B5EF4-FFF2-40B4-BE49-F238E27FC236}">
              <a16:creationId xmlns:a16="http://schemas.microsoft.com/office/drawing/2014/main" id="{DD8EB2AC-2E3C-4114-8015-027A0C55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38</xdr:row>
      <xdr:rowOff>154781</xdr:rowOff>
    </xdr:from>
    <xdr:ext cx="555102" cy="613448"/>
    <xdr:pic>
      <xdr:nvPicPr>
        <xdr:cNvPr id="31" name="Picture 30">
          <a:extLst>
            <a:ext uri="{FF2B5EF4-FFF2-40B4-BE49-F238E27FC236}">
              <a16:creationId xmlns:a16="http://schemas.microsoft.com/office/drawing/2014/main" id="{27C8410E-487D-419C-B267-F9733A3F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9" y="16799719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130409</xdr:colOff>
      <xdr:row>39</xdr:row>
      <xdr:rowOff>159613</xdr:rowOff>
    </xdr:from>
    <xdr:ext cx="551827" cy="669012"/>
    <xdr:pic>
      <xdr:nvPicPr>
        <xdr:cNvPr id="32" name="Picture 31">
          <a:extLst>
            <a:ext uri="{FF2B5EF4-FFF2-40B4-BE49-F238E27FC236}">
              <a16:creationId xmlns:a16="http://schemas.microsoft.com/office/drawing/2014/main" id="{D4CF950C-4AB9-4E5C-AADC-0CE93F3AA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128" y="34294832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130409</xdr:colOff>
      <xdr:row>40</xdr:row>
      <xdr:rowOff>159613</xdr:rowOff>
    </xdr:from>
    <xdr:ext cx="551827" cy="669012"/>
    <xdr:pic>
      <xdr:nvPicPr>
        <xdr:cNvPr id="33" name="Picture 32">
          <a:extLst>
            <a:ext uri="{FF2B5EF4-FFF2-40B4-BE49-F238E27FC236}">
              <a16:creationId xmlns:a16="http://schemas.microsoft.com/office/drawing/2014/main" id="{36B249D7-8676-4583-A889-47AF1721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128" y="34294832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45</xdr:row>
      <xdr:rowOff>49483</xdr:rowOff>
    </xdr:from>
    <xdr:ext cx="555102" cy="726868"/>
    <xdr:pic>
      <xdr:nvPicPr>
        <xdr:cNvPr id="34" name="Picture 33">
          <a:extLst>
            <a:ext uri="{FF2B5EF4-FFF2-40B4-BE49-F238E27FC236}">
              <a16:creationId xmlns:a16="http://schemas.microsoft.com/office/drawing/2014/main" id="{5A8D6571-D3E1-4A0F-AFD1-BD2CB3E2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75687508"/>
          <a:ext cx="555102" cy="726868"/>
        </a:xfrm>
        <a:prstGeom prst="rect">
          <a:avLst/>
        </a:prstGeom>
      </xdr:spPr>
    </xdr:pic>
    <xdr:clientData/>
  </xdr:oneCellAnchor>
  <xdr:oneCellAnchor>
    <xdr:from>
      <xdr:col>4</xdr:col>
      <xdr:colOff>676413</xdr:colOff>
      <xdr:row>45</xdr:row>
      <xdr:rowOff>74222</xdr:rowOff>
    </xdr:from>
    <xdr:ext cx="540448" cy="709487"/>
    <xdr:pic>
      <xdr:nvPicPr>
        <xdr:cNvPr id="35" name="Picture 34">
          <a:extLst>
            <a:ext uri="{FF2B5EF4-FFF2-40B4-BE49-F238E27FC236}">
              <a16:creationId xmlns:a16="http://schemas.microsoft.com/office/drawing/2014/main" id="{020F19E2-E36B-4D29-81D5-B1743C566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38" y="75712247"/>
          <a:ext cx="540448" cy="709487"/>
        </a:xfrm>
        <a:prstGeom prst="rect">
          <a:avLst/>
        </a:prstGeom>
      </xdr:spPr>
    </xdr:pic>
    <xdr:clientData/>
  </xdr:oneCellAnchor>
  <xdr:oneCellAnchor>
    <xdr:from>
      <xdr:col>4</xdr:col>
      <xdr:colOff>1269999</xdr:colOff>
      <xdr:row>45</xdr:row>
      <xdr:rowOff>73864</xdr:rowOff>
    </xdr:from>
    <xdr:ext cx="575501" cy="669848"/>
    <xdr:pic>
      <xdr:nvPicPr>
        <xdr:cNvPr id="36" name="Picture 35">
          <a:extLst>
            <a:ext uri="{FF2B5EF4-FFF2-40B4-BE49-F238E27FC236}">
              <a16:creationId xmlns:a16="http://schemas.microsoft.com/office/drawing/2014/main" id="{C8231A32-789E-4ECA-B489-D4625C8B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4" y="75711889"/>
          <a:ext cx="575501" cy="669848"/>
        </a:xfrm>
        <a:prstGeom prst="rect">
          <a:avLst/>
        </a:prstGeom>
      </xdr:spPr>
    </xdr:pic>
    <xdr:clientData/>
  </xdr:oneCellAnchor>
  <xdr:oneCellAnchor>
    <xdr:from>
      <xdr:col>4</xdr:col>
      <xdr:colOff>1918804</xdr:colOff>
      <xdr:row>45</xdr:row>
      <xdr:rowOff>61493</xdr:rowOff>
    </xdr:from>
    <xdr:ext cx="545064" cy="654570"/>
    <xdr:pic>
      <xdr:nvPicPr>
        <xdr:cNvPr id="37" name="Picture 36">
          <a:extLst>
            <a:ext uri="{FF2B5EF4-FFF2-40B4-BE49-F238E27FC236}">
              <a16:creationId xmlns:a16="http://schemas.microsoft.com/office/drawing/2014/main" id="{89EF12B3-0A16-494F-AD85-84C0331A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29" y="75699518"/>
          <a:ext cx="545064" cy="654570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50</xdr:row>
      <xdr:rowOff>85662</xdr:rowOff>
    </xdr:from>
    <xdr:ext cx="545064" cy="658529"/>
    <xdr:pic>
      <xdr:nvPicPr>
        <xdr:cNvPr id="38" name="Picture 37">
          <a:extLst>
            <a:ext uri="{FF2B5EF4-FFF2-40B4-BE49-F238E27FC236}">
              <a16:creationId xmlns:a16="http://schemas.microsoft.com/office/drawing/2014/main" id="{41877AF5-421E-4A32-915E-20F52DB21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118401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50</xdr:row>
      <xdr:rowOff>85878</xdr:rowOff>
    </xdr:from>
    <xdr:ext cx="560121" cy="651781"/>
    <xdr:pic>
      <xdr:nvPicPr>
        <xdr:cNvPr id="39" name="Picture 38">
          <a:extLst>
            <a:ext uri="{FF2B5EF4-FFF2-40B4-BE49-F238E27FC236}">
              <a16:creationId xmlns:a16="http://schemas.microsoft.com/office/drawing/2014/main" id="{C15D4198-649D-4E1B-886D-147C1F20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118422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50</xdr:row>
      <xdr:rowOff>72072</xdr:rowOff>
    </xdr:from>
    <xdr:ext cx="551829" cy="680016"/>
    <xdr:pic>
      <xdr:nvPicPr>
        <xdr:cNvPr id="40" name="Picture 39">
          <a:extLst>
            <a:ext uri="{FF2B5EF4-FFF2-40B4-BE49-F238E27FC236}">
              <a16:creationId xmlns:a16="http://schemas.microsoft.com/office/drawing/2014/main" id="{7502EE5B-5905-4EE3-A8ED-B67CAC3E5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117042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50</xdr:row>
      <xdr:rowOff>32096</xdr:rowOff>
    </xdr:from>
    <xdr:ext cx="540448" cy="710461"/>
    <xdr:pic>
      <xdr:nvPicPr>
        <xdr:cNvPr id="41" name="Picture 40">
          <a:extLst>
            <a:ext uri="{FF2B5EF4-FFF2-40B4-BE49-F238E27FC236}">
              <a16:creationId xmlns:a16="http://schemas.microsoft.com/office/drawing/2014/main" id="{19BEE7C9-703F-471F-A14A-3DCAFDFE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113044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50</xdr:row>
      <xdr:rowOff>70639</xdr:rowOff>
    </xdr:from>
    <xdr:ext cx="586442" cy="676037"/>
    <xdr:pic>
      <xdr:nvPicPr>
        <xdr:cNvPr id="42" name="Picture 41">
          <a:extLst>
            <a:ext uri="{FF2B5EF4-FFF2-40B4-BE49-F238E27FC236}">
              <a16:creationId xmlns:a16="http://schemas.microsoft.com/office/drawing/2014/main" id="{A110621E-A8AE-4D58-907B-1176C6C4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116898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51</xdr:row>
      <xdr:rowOff>85662</xdr:rowOff>
    </xdr:from>
    <xdr:ext cx="545064" cy="658529"/>
    <xdr:pic>
      <xdr:nvPicPr>
        <xdr:cNvPr id="43" name="Picture 42">
          <a:extLst>
            <a:ext uri="{FF2B5EF4-FFF2-40B4-BE49-F238E27FC236}">
              <a16:creationId xmlns:a16="http://schemas.microsoft.com/office/drawing/2014/main" id="{53C8D34A-6108-4692-AF2D-1428446A2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118401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51</xdr:row>
      <xdr:rowOff>85878</xdr:rowOff>
    </xdr:from>
    <xdr:ext cx="560121" cy="651781"/>
    <xdr:pic>
      <xdr:nvPicPr>
        <xdr:cNvPr id="44" name="Picture 43">
          <a:extLst>
            <a:ext uri="{FF2B5EF4-FFF2-40B4-BE49-F238E27FC236}">
              <a16:creationId xmlns:a16="http://schemas.microsoft.com/office/drawing/2014/main" id="{FC0EA560-4B35-4611-8D63-2A6AB2F82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118422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51</xdr:row>
      <xdr:rowOff>72072</xdr:rowOff>
    </xdr:from>
    <xdr:ext cx="551829" cy="680016"/>
    <xdr:pic>
      <xdr:nvPicPr>
        <xdr:cNvPr id="45" name="Picture 44">
          <a:extLst>
            <a:ext uri="{FF2B5EF4-FFF2-40B4-BE49-F238E27FC236}">
              <a16:creationId xmlns:a16="http://schemas.microsoft.com/office/drawing/2014/main" id="{3A825444-8FC8-477F-B0E2-83385CA22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117042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51</xdr:row>
      <xdr:rowOff>32096</xdr:rowOff>
    </xdr:from>
    <xdr:ext cx="540448" cy="710461"/>
    <xdr:pic>
      <xdr:nvPicPr>
        <xdr:cNvPr id="46" name="Picture 45">
          <a:extLst>
            <a:ext uri="{FF2B5EF4-FFF2-40B4-BE49-F238E27FC236}">
              <a16:creationId xmlns:a16="http://schemas.microsoft.com/office/drawing/2014/main" id="{C87A41D3-5ECD-4F45-B380-2AB8EABE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113044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51</xdr:row>
      <xdr:rowOff>70639</xdr:rowOff>
    </xdr:from>
    <xdr:ext cx="586442" cy="676037"/>
    <xdr:pic>
      <xdr:nvPicPr>
        <xdr:cNvPr id="47" name="Picture 46">
          <a:extLst>
            <a:ext uri="{FF2B5EF4-FFF2-40B4-BE49-F238E27FC236}">
              <a16:creationId xmlns:a16="http://schemas.microsoft.com/office/drawing/2014/main" id="{46A08D44-8179-4544-8B4B-277582A67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116898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52</xdr:row>
      <xdr:rowOff>85662</xdr:rowOff>
    </xdr:from>
    <xdr:ext cx="545064" cy="658529"/>
    <xdr:pic>
      <xdr:nvPicPr>
        <xdr:cNvPr id="48" name="Picture 47">
          <a:extLst>
            <a:ext uri="{FF2B5EF4-FFF2-40B4-BE49-F238E27FC236}">
              <a16:creationId xmlns:a16="http://schemas.microsoft.com/office/drawing/2014/main" id="{557555E9-35F4-4A54-AC52-833CD1583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118401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52</xdr:row>
      <xdr:rowOff>85878</xdr:rowOff>
    </xdr:from>
    <xdr:ext cx="560121" cy="651781"/>
    <xdr:pic>
      <xdr:nvPicPr>
        <xdr:cNvPr id="49" name="Picture 48">
          <a:extLst>
            <a:ext uri="{FF2B5EF4-FFF2-40B4-BE49-F238E27FC236}">
              <a16:creationId xmlns:a16="http://schemas.microsoft.com/office/drawing/2014/main" id="{0E37A53A-026F-452A-92E9-EB284C11F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118422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52</xdr:row>
      <xdr:rowOff>72072</xdr:rowOff>
    </xdr:from>
    <xdr:ext cx="551829" cy="680016"/>
    <xdr:pic>
      <xdr:nvPicPr>
        <xdr:cNvPr id="50" name="Picture 49">
          <a:extLst>
            <a:ext uri="{FF2B5EF4-FFF2-40B4-BE49-F238E27FC236}">
              <a16:creationId xmlns:a16="http://schemas.microsoft.com/office/drawing/2014/main" id="{5636E38B-1DA5-4095-BE48-71C26BFD4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117042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52</xdr:row>
      <xdr:rowOff>32096</xdr:rowOff>
    </xdr:from>
    <xdr:ext cx="540448" cy="710461"/>
    <xdr:pic>
      <xdr:nvPicPr>
        <xdr:cNvPr id="51" name="Picture 50">
          <a:extLst>
            <a:ext uri="{FF2B5EF4-FFF2-40B4-BE49-F238E27FC236}">
              <a16:creationId xmlns:a16="http://schemas.microsoft.com/office/drawing/2014/main" id="{04CADB41-D0FA-4DDC-B16D-CB3668D9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113044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52</xdr:row>
      <xdr:rowOff>70639</xdr:rowOff>
    </xdr:from>
    <xdr:ext cx="586442" cy="676037"/>
    <xdr:pic>
      <xdr:nvPicPr>
        <xdr:cNvPr id="52" name="Picture 51">
          <a:extLst>
            <a:ext uri="{FF2B5EF4-FFF2-40B4-BE49-F238E27FC236}">
              <a16:creationId xmlns:a16="http://schemas.microsoft.com/office/drawing/2014/main" id="{8C233078-C2F2-4131-8515-E33C9544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116898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53</xdr:row>
      <xdr:rowOff>85662</xdr:rowOff>
    </xdr:from>
    <xdr:ext cx="545064" cy="658529"/>
    <xdr:pic>
      <xdr:nvPicPr>
        <xdr:cNvPr id="53" name="Picture 52">
          <a:extLst>
            <a:ext uri="{FF2B5EF4-FFF2-40B4-BE49-F238E27FC236}">
              <a16:creationId xmlns:a16="http://schemas.microsoft.com/office/drawing/2014/main" id="{721DF51E-3867-4B33-99AF-60B17E30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118401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53</xdr:row>
      <xdr:rowOff>85878</xdr:rowOff>
    </xdr:from>
    <xdr:ext cx="560121" cy="651781"/>
    <xdr:pic>
      <xdr:nvPicPr>
        <xdr:cNvPr id="54" name="Picture 53">
          <a:extLst>
            <a:ext uri="{FF2B5EF4-FFF2-40B4-BE49-F238E27FC236}">
              <a16:creationId xmlns:a16="http://schemas.microsoft.com/office/drawing/2014/main" id="{C13E0A7D-4406-4F3F-86BC-F2CA475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118422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53</xdr:row>
      <xdr:rowOff>72072</xdr:rowOff>
    </xdr:from>
    <xdr:ext cx="551829" cy="680016"/>
    <xdr:pic>
      <xdr:nvPicPr>
        <xdr:cNvPr id="55" name="Picture 54">
          <a:extLst>
            <a:ext uri="{FF2B5EF4-FFF2-40B4-BE49-F238E27FC236}">
              <a16:creationId xmlns:a16="http://schemas.microsoft.com/office/drawing/2014/main" id="{8A5D7AAC-C33D-44FC-AC1D-5655C4E0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117042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53</xdr:row>
      <xdr:rowOff>32096</xdr:rowOff>
    </xdr:from>
    <xdr:ext cx="540448" cy="710461"/>
    <xdr:pic>
      <xdr:nvPicPr>
        <xdr:cNvPr id="56" name="Picture 55">
          <a:extLst>
            <a:ext uri="{FF2B5EF4-FFF2-40B4-BE49-F238E27FC236}">
              <a16:creationId xmlns:a16="http://schemas.microsoft.com/office/drawing/2014/main" id="{B0962ACF-2D26-4406-85C7-F2FCFAA5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113044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53</xdr:row>
      <xdr:rowOff>70639</xdr:rowOff>
    </xdr:from>
    <xdr:ext cx="586442" cy="676037"/>
    <xdr:pic>
      <xdr:nvPicPr>
        <xdr:cNvPr id="57" name="Picture 56">
          <a:extLst>
            <a:ext uri="{FF2B5EF4-FFF2-40B4-BE49-F238E27FC236}">
              <a16:creationId xmlns:a16="http://schemas.microsoft.com/office/drawing/2014/main" id="{DB9B6310-A9AB-4EC1-B979-46D26D5B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116898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54</xdr:row>
      <xdr:rowOff>167625</xdr:rowOff>
    </xdr:from>
    <xdr:ext cx="551828" cy="656054"/>
    <xdr:pic>
      <xdr:nvPicPr>
        <xdr:cNvPr id="58" name="Picture 57">
          <a:extLst>
            <a:ext uri="{FF2B5EF4-FFF2-40B4-BE49-F238E27FC236}">
              <a16:creationId xmlns:a16="http://schemas.microsoft.com/office/drawing/2014/main" id="{4E921700-E480-4C89-8E23-9F0F17264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10514750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621196</xdr:colOff>
      <xdr:row>54</xdr:row>
      <xdr:rowOff>177127</xdr:rowOff>
    </xdr:from>
    <xdr:ext cx="556845" cy="671110"/>
    <xdr:pic>
      <xdr:nvPicPr>
        <xdr:cNvPr id="59" name="Picture 58">
          <a:extLst>
            <a:ext uri="{FF2B5EF4-FFF2-40B4-BE49-F238E27FC236}">
              <a16:creationId xmlns:a16="http://schemas.microsoft.com/office/drawing/2014/main" id="{ED8D2E70-F84A-4F88-B228-31C7BFD83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110524252"/>
          <a:ext cx="556845" cy="671110"/>
        </a:xfrm>
        <a:prstGeom prst="rect">
          <a:avLst/>
        </a:prstGeom>
      </xdr:spPr>
    </xdr:pic>
    <xdr:clientData/>
  </xdr:oneCellAnchor>
  <xdr:oneCellAnchor>
    <xdr:from>
      <xdr:col>4</xdr:col>
      <xdr:colOff>1205225</xdr:colOff>
      <xdr:row>54</xdr:row>
      <xdr:rowOff>169219</xdr:rowOff>
    </xdr:from>
    <xdr:ext cx="561865" cy="647822"/>
    <xdr:pic>
      <xdr:nvPicPr>
        <xdr:cNvPr id="60" name="Picture 59">
          <a:extLst>
            <a:ext uri="{FF2B5EF4-FFF2-40B4-BE49-F238E27FC236}">
              <a16:creationId xmlns:a16="http://schemas.microsoft.com/office/drawing/2014/main" id="{0ECDC8FD-097C-4956-B0B4-C4888D46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750" y="110516344"/>
          <a:ext cx="561865" cy="647822"/>
        </a:xfrm>
        <a:prstGeom prst="rect">
          <a:avLst/>
        </a:prstGeom>
      </xdr:spPr>
    </xdr:pic>
    <xdr:clientData/>
  </xdr:oneCellAnchor>
  <xdr:oneCellAnchor>
    <xdr:from>
      <xdr:col>4</xdr:col>
      <xdr:colOff>1837049</xdr:colOff>
      <xdr:row>54</xdr:row>
      <xdr:rowOff>166191</xdr:rowOff>
    </xdr:from>
    <xdr:ext cx="551829" cy="672918"/>
    <xdr:pic>
      <xdr:nvPicPr>
        <xdr:cNvPr id="61" name="Picture 60">
          <a:extLst>
            <a:ext uri="{FF2B5EF4-FFF2-40B4-BE49-F238E27FC236}">
              <a16:creationId xmlns:a16="http://schemas.microsoft.com/office/drawing/2014/main" id="{E2C7FEF5-41D0-4382-B774-1EDDF13B2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9574" y="110513316"/>
          <a:ext cx="551829" cy="672918"/>
        </a:xfrm>
        <a:prstGeom prst="rect">
          <a:avLst/>
        </a:prstGeom>
      </xdr:spPr>
    </xdr:pic>
    <xdr:clientData/>
  </xdr:oneCellAnchor>
  <xdr:oneCellAnchor>
    <xdr:from>
      <xdr:col>4</xdr:col>
      <xdr:colOff>2467247</xdr:colOff>
      <xdr:row>54</xdr:row>
      <xdr:rowOff>178561</xdr:rowOff>
    </xdr:from>
    <xdr:ext cx="540448" cy="667988"/>
    <xdr:pic>
      <xdr:nvPicPr>
        <xdr:cNvPr id="62" name="Picture 61">
          <a:extLst>
            <a:ext uri="{FF2B5EF4-FFF2-40B4-BE49-F238E27FC236}">
              <a16:creationId xmlns:a16="http://schemas.microsoft.com/office/drawing/2014/main" id="{8FCDA5B1-F311-4267-9F9C-BEE182438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772" y="110525686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3062270</xdr:colOff>
      <xdr:row>54</xdr:row>
      <xdr:rowOff>166191</xdr:rowOff>
    </xdr:from>
    <xdr:ext cx="549138" cy="669243"/>
    <xdr:pic>
      <xdr:nvPicPr>
        <xdr:cNvPr id="63" name="Picture 62">
          <a:extLst>
            <a:ext uri="{FF2B5EF4-FFF2-40B4-BE49-F238E27FC236}">
              <a16:creationId xmlns:a16="http://schemas.microsoft.com/office/drawing/2014/main" id="{73E13362-A26C-440E-A415-A4E62647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4795" y="110513316"/>
          <a:ext cx="549138" cy="669243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55</xdr:row>
      <xdr:rowOff>167625</xdr:rowOff>
    </xdr:from>
    <xdr:ext cx="551828" cy="656054"/>
    <xdr:pic>
      <xdr:nvPicPr>
        <xdr:cNvPr id="64" name="Picture 63">
          <a:extLst>
            <a:ext uri="{FF2B5EF4-FFF2-40B4-BE49-F238E27FC236}">
              <a16:creationId xmlns:a16="http://schemas.microsoft.com/office/drawing/2014/main" id="{0786C175-0D4C-459E-A292-09A6849B0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11610125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621196</xdr:colOff>
      <xdr:row>55</xdr:row>
      <xdr:rowOff>177127</xdr:rowOff>
    </xdr:from>
    <xdr:ext cx="556845" cy="671110"/>
    <xdr:pic>
      <xdr:nvPicPr>
        <xdr:cNvPr id="65" name="Picture 64">
          <a:extLst>
            <a:ext uri="{FF2B5EF4-FFF2-40B4-BE49-F238E27FC236}">
              <a16:creationId xmlns:a16="http://schemas.microsoft.com/office/drawing/2014/main" id="{F1F687C7-2733-4067-B2BE-85BA11CB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111619627"/>
          <a:ext cx="556845" cy="671110"/>
        </a:xfrm>
        <a:prstGeom prst="rect">
          <a:avLst/>
        </a:prstGeom>
      </xdr:spPr>
    </xdr:pic>
    <xdr:clientData/>
  </xdr:oneCellAnchor>
  <xdr:oneCellAnchor>
    <xdr:from>
      <xdr:col>4</xdr:col>
      <xdr:colOff>1187174</xdr:colOff>
      <xdr:row>55</xdr:row>
      <xdr:rowOff>203301</xdr:rowOff>
    </xdr:from>
    <xdr:ext cx="556847" cy="661073"/>
    <xdr:pic>
      <xdr:nvPicPr>
        <xdr:cNvPr id="66" name="Picture 65">
          <a:extLst>
            <a:ext uri="{FF2B5EF4-FFF2-40B4-BE49-F238E27FC236}">
              <a16:creationId xmlns:a16="http://schemas.microsoft.com/office/drawing/2014/main" id="{1A232E58-A695-4193-9A97-D6735D20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699" y="111645801"/>
          <a:ext cx="556847" cy="661073"/>
        </a:xfrm>
        <a:prstGeom prst="rect">
          <a:avLst/>
        </a:prstGeom>
      </xdr:spPr>
    </xdr:pic>
    <xdr:clientData/>
  </xdr:oneCellAnchor>
  <xdr:oneCellAnchor>
    <xdr:from>
      <xdr:col>4</xdr:col>
      <xdr:colOff>1766956</xdr:colOff>
      <xdr:row>55</xdr:row>
      <xdr:rowOff>181430</xdr:rowOff>
    </xdr:from>
    <xdr:ext cx="561865" cy="647822"/>
    <xdr:pic>
      <xdr:nvPicPr>
        <xdr:cNvPr id="67" name="Picture 66">
          <a:extLst>
            <a:ext uri="{FF2B5EF4-FFF2-40B4-BE49-F238E27FC236}">
              <a16:creationId xmlns:a16="http://schemas.microsoft.com/office/drawing/2014/main" id="{6FB6BE37-0017-4BBA-8E20-7ED15A89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481" y="111623930"/>
          <a:ext cx="561865" cy="647822"/>
        </a:xfrm>
        <a:prstGeom prst="rect">
          <a:avLst/>
        </a:prstGeom>
      </xdr:spPr>
    </xdr:pic>
    <xdr:clientData/>
  </xdr:oneCellAnchor>
  <xdr:oneCellAnchor>
    <xdr:from>
      <xdr:col>4</xdr:col>
      <xdr:colOff>2374348</xdr:colOff>
      <xdr:row>55</xdr:row>
      <xdr:rowOff>166191</xdr:rowOff>
    </xdr:from>
    <xdr:ext cx="551829" cy="672918"/>
    <xdr:pic>
      <xdr:nvPicPr>
        <xdr:cNvPr id="68" name="Picture 67">
          <a:extLst>
            <a:ext uri="{FF2B5EF4-FFF2-40B4-BE49-F238E27FC236}">
              <a16:creationId xmlns:a16="http://schemas.microsoft.com/office/drawing/2014/main" id="{2008165F-3857-4361-84EC-ABD716A5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873" y="111608691"/>
          <a:ext cx="551829" cy="672918"/>
        </a:xfrm>
        <a:prstGeom prst="rect">
          <a:avLst/>
        </a:prstGeom>
      </xdr:spPr>
    </xdr:pic>
    <xdr:clientData/>
  </xdr:oneCellAnchor>
  <xdr:oneCellAnchor>
    <xdr:from>
      <xdr:col>4</xdr:col>
      <xdr:colOff>2967935</xdr:colOff>
      <xdr:row>55</xdr:row>
      <xdr:rowOff>178561</xdr:rowOff>
    </xdr:from>
    <xdr:ext cx="540448" cy="667988"/>
    <xdr:pic>
      <xdr:nvPicPr>
        <xdr:cNvPr id="69" name="Picture 68">
          <a:extLst>
            <a:ext uri="{FF2B5EF4-FFF2-40B4-BE49-F238E27FC236}">
              <a16:creationId xmlns:a16="http://schemas.microsoft.com/office/drawing/2014/main" id="{AB39453F-2169-4EC2-9791-43B581B4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0460" y="111621061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3562956</xdr:colOff>
      <xdr:row>55</xdr:row>
      <xdr:rowOff>166191</xdr:rowOff>
    </xdr:from>
    <xdr:ext cx="549138" cy="669243"/>
    <xdr:pic>
      <xdr:nvPicPr>
        <xdr:cNvPr id="70" name="Picture 69">
          <a:extLst>
            <a:ext uri="{FF2B5EF4-FFF2-40B4-BE49-F238E27FC236}">
              <a16:creationId xmlns:a16="http://schemas.microsoft.com/office/drawing/2014/main" id="{6A9811D1-0D1F-4350-887D-C4E2EAF9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481" y="111608691"/>
          <a:ext cx="549138" cy="669243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56</xdr:row>
      <xdr:rowOff>85662</xdr:rowOff>
    </xdr:from>
    <xdr:ext cx="545064" cy="658529"/>
    <xdr:pic>
      <xdr:nvPicPr>
        <xdr:cNvPr id="71" name="Picture 70">
          <a:extLst>
            <a:ext uri="{FF2B5EF4-FFF2-40B4-BE49-F238E27FC236}">
              <a16:creationId xmlns:a16="http://schemas.microsoft.com/office/drawing/2014/main" id="{7C8BA0EA-24F8-4CAD-89E0-4351EEE37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2946137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56</xdr:row>
      <xdr:rowOff>85878</xdr:rowOff>
    </xdr:from>
    <xdr:ext cx="560121" cy="651781"/>
    <xdr:pic>
      <xdr:nvPicPr>
        <xdr:cNvPr id="72" name="Picture 71">
          <a:extLst>
            <a:ext uri="{FF2B5EF4-FFF2-40B4-BE49-F238E27FC236}">
              <a16:creationId xmlns:a16="http://schemas.microsoft.com/office/drawing/2014/main" id="{9401FAD3-A608-40C5-A587-D7C20DCA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2946353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56</xdr:row>
      <xdr:rowOff>72072</xdr:rowOff>
    </xdr:from>
    <xdr:ext cx="551829" cy="680016"/>
    <xdr:pic>
      <xdr:nvPicPr>
        <xdr:cNvPr id="73" name="Picture 72">
          <a:extLst>
            <a:ext uri="{FF2B5EF4-FFF2-40B4-BE49-F238E27FC236}">
              <a16:creationId xmlns:a16="http://schemas.microsoft.com/office/drawing/2014/main" id="{ABA427C4-31CA-417A-B14D-BC5F543B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2932547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56</xdr:row>
      <xdr:rowOff>32096</xdr:rowOff>
    </xdr:from>
    <xdr:ext cx="540448" cy="710461"/>
    <xdr:pic>
      <xdr:nvPicPr>
        <xdr:cNvPr id="74" name="Picture 73">
          <a:extLst>
            <a:ext uri="{FF2B5EF4-FFF2-40B4-BE49-F238E27FC236}">
              <a16:creationId xmlns:a16="http://schemas.microsoft.com/office/drawing/2014/main" id="{74976D11-D2EC-4762-BADD-0AADF105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2892571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56</xdr:row>
      <xdr:rowOff>70639</xdr:rowOff>
    </xdr:from>
    <xdr:ext cx="586442" cy="676037"/>
    <xdr:pic>
      <xdr:nvPicPr>
        <xdr:cNvPr id="75" name="Picture 74">
          <a:extLst>
            <a:ext uri="{FF2B5EF4-FFF2-40B4-BE49-F238E27FC236}">
              <a16:creationId xmlns:a16="http://schemas.microsoft.com/office/drawing/2014/main" id="{9DFC8C09-E13F-42CF-B8AB-54633BDC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2931114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129153</xdr:colOff>
      <xdr:row>57</xdr:row>
      <xdr:rowOff>177585</xdr:rowOff>
    </xdr:from>
    <xdr:ext cx="551828" cy="656054"/>
    <xdr:pic>
      <xdr:nvPicPr>
        <xdr:cNvPr id="76" name="Picture 75">
          <a:extLst>
            <a:ext uri="{FF2B5EF4-FFF2-40B4-BE49-F238E27FC236}">
              <a16:creationId xmlns:a16="http://schemas.microsoft.com/office/drawing/2014/main" id="{88564A1E-EA86-498B-AEA6-367C4F72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128" y="47544280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113008</xdr:colOff>
      <xdr:row>28</xdr:row>
      <xdr:rowOff>371313</xdr:rowOff>
    </xdr:from>
    <xdr:ext cx="555102" cy="613448"/>
    <xdr:pic>
      <xdr:nvPicPr>
        <xdr:cNvPr id="77" name="Picture 76">
          <a:extLst>
            <a:ext uri="{FF2B5EF4-FFF2-40B4-BE49-F238E27FC236}">
              <a16:creationId xmlns:a16="http://schemas.microsoft.com/office/drawing/2014/main" id="{D4B02480-0F3D-4808-A500-76DDA41F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983" y="20954999"/>
          <a:ext cx="555102" cy="6134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2458433</xdr:colOff>
      <xdr:row>11</xdr:row>
      <xdr:rowOff>142110</xdr:rowOff>
    </xdr:from>
    <xdr:to>
      <xdr:col>4</xdr:col>
      <xdr:colOff>3003497</xdr:colOff>
      <xdr:row>11</xdr:row>
      <xdr:rowOff>1181393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69DE5341-CDBE-4215-872A-61F90A3B2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0958" y="3361560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55415</xdr:colOff>
      <xdr:row>11</xdr:row>
      <xdr:rowOff>163877</xdr:rowOff>
    </xdr:from>
    <xdr:to>
      <xdr:col>4</xdr:col>
      <xdr:colOff>607243</xdr:colOff>
      <xdr:row>11</xdr:row>
      <xdr:rowOff>1198348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7F1FFBD3-B1CD-42A8-8957-9FE3E527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940" y="3383327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649003</xdr:colOff>
      <xdr:row>11</xdr:row>
      <xdr:rowOff>136269</xdr:rowOff>
    </xdr:from>
    <xdr:to>
      <xdr:col>4</xdr:col>
      <xdr:colOff>1204104</xdr:colOff>
      <xdr:row>11</xdr:row>
      <xdr:rowOff>1185796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939405C5-8B50-41C4-B23F-F23FF3E28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528" y="3355719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1246837</xdr:colOff>
      <xdr:row>11</xdr:row>
      <xdr:rowOff>141576</xdr:rowOff>
    </xdr:from>
    <xdr:to>
      <xdr:col>4</xdr:col>
      <xdr:colOff>1801939</xdr:colOff>
      <xdr:row>11</xdr:row>
      <xdr:rowOff>1181066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4AB17FDF-0EA0-411C-A22F-2BCC11D90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9362" y="3361026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1863785</xdr:colOff>
      <xdr:row>11</xdr:row>
      <xdr:rowOff>136269</xdr:rowOff>
    </xdr:from>
    <xdr:to>
      <xdr:col>4</xdr:col>
      <xdr:colOff>2404233</xdr:colOff>
      <xdr:row>11</xdr:row>
      <xdr:rowOff>1182674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D1E81A5C-DEDE-48B1-A098-AD0FE6415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310" y="3355719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2485844</xdr:colOff>
      <xdr:row>12</xdr:row>
      <xdr:rowOff>82295</xdr:rowOff>
    </xdr:from>
    <xdr:to>
      <xdr:col>4</xdr:col>
      <xdr:colOff>3030908</xdr:colOff>
      <xdr:row>12</xdr:row>
      <xdr:rowOff>1121578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AC19B626-0726-42DB-916B-05E13DC9F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369" y="4254245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1891196</xdr:colOff>
      <xdr:row>12</xdr:row>
      <xdr:rowOff>69022</xdr:rowOff>
    </xdr:from>
    <xdr:to>
      <xdr:col>4</xdr:col>
      <xdr:colOff>2431644</xdr:colOff>
      <xdr:row>12</xdr:row>
      <xdr:rowOff>1121723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8CD0919A-7C10-4186-9309-C862450A9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3721" y="4240972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1274249</xdr:colOff>
      <xdr:row>12</xdr:row>
      <xdr:rowOff>74330</xdr:rowOff>
    </xdr:from>
    <xdr:to>
      <xdr:col>4</xdr:col>
      <xdr:colOff>1829351</xdr:colOff>
      <xdr:row>12</xdr:row>
      <xdr:rowOff>1120116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7526D7DC-8ABF-43A7-9B52-ECBB1CEB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774" y="4246280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646466</xdr:colOff>
      <xdr:row>12</xdr:row>
      <xdr:rowOff>41414</xdr:rowOff>
    </xdr:from>
    <xdr:to>
      <xdr:col>4</xdr:col>
      <xdr:colOff>1201567</xdr:colOff>
      <xdr:row>12</xdr:row>
      <xdr:rowOff>1097237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BA391830-1882-4E29-938D-3CF38A24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441" y="4513321"/>
          <a:ext cx="555101" cy="1055823"/>
        </a:xfrm>
        <a:prstGeom prst="rect">
          <a:avLst/>
        </a:prstGeom>
      </xdr:spPr>
    </xdr:pic>
    <xdr:clientData/>
  </xdr:twoCellAnchor>
  <xdr:twoCellAnchor editAs="oneCell">
    <xdr:from>
      <xdr:col>4</xdr:col>
      <xdr:colOff>69022</xdr:colOff>
      <xdr:row>12</xdr:row>
      <xdr:rowOff>69022</xdr:rowOff>
    </xdr:from>
    <xdr:to>
      <xdr:col>4</xdr:col>
      <xdr:colOff>620850</xdr:colOff>
      <xdr:row>12</xdr:row>
      <xdr:rowOff>1109789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CCBDCB1A-EC3F-4FD1-A91F-E1B0FAB7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547" y="4240972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2499648</xdr:colOff>
      <xdr:row>13</xdr:row>
      <xdr:rowOff>143353</xdr:rowOff>
    </xdr:from>
    <xdr:to>
      <xdr:col>4</xdr:col>
      <xdr:colOff>3044712</xdr:colOff>
      <xdr:row>13</xdr:row>
      <xdr:rowOff>1184739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F6094007-4738-4B12-A797-8466D97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2173" y="5191603"/>
          <a:ext cx="545064" cy="656673"/>
        </a:xfrm>
        <a:prstGeom prst="rect">
          <a:avLst/>
        </a:prstGeom>
      </xdr:spPr>
    </xdr:pic>
    <xdr:clientData/>
  </xdr:twoCellAnchor>
  <xdr:twoCellAnchor editAs="oneCell">
    <xdr:from>
      <xdr:col>4</xdr:col>
      <xdr:colOff>1274248</xdr:colOff>
      <xdr:row>13</xdr:row>
      <xdr:rowOff>129548</xdr:rowOff>
    </xdr:from>
    <xdr:to>
      <xdr:col>4</xdr:col>
      <xdr:colOff>1829350</xdr:colOff>
      <xdr:row>13</xdr:row>
      <xdr:rowOff>1177437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B9A90250-2D16-4398-BCB1-0E9892F0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773" y="5177798"/>
          <a:ext cx="555102" cy="663176"/>
        </a:xfrm>
        <a:prstGeom prst="rect">
          <a:avLst/>
        </a:prstGeom>
      </xdr:spPr>
    </xdr:pic>
    <xdr:clientData/>
  </xdr:twoCellAnchor>
  <xdr:twoCellAnchor editAs="oneCell">
    <xdr:from>
      <xdr:col>4</xdr:col>
      <xdr:colOff>1891196</xdr:colOff>
      <xdr:row>13</xdr:row>
      <xdr:rowOff>151848</xdr:rowOff>
    </xdr:from>
    <xdr:to>
      <xdr:col>4</xdr:col>
      <xdr:colOff>2431644</xdr:colOff>
      <xdr:row>13</xdr:row>
      <xdr:rowOff>1200356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2DAC7C69-AEC0-4D62-B3D6-04E4B4A2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3721" y="5200098"/>
          <a:ext cx="540448" cy="670091"/>
        </a:xfrm>
        <a:prstGeom prst="rect">
          <a:avLst/>
        </a:prstGeom>
      </xdr:spPr>
    </xdr:pic>
    <xdr:clientData/>
  </xdr:twoCellAnchor>
  <xdr:twoCellAnchor editAs="oneCell">
    <xdr:from>
      <xdr:col>4</xdr:col>
      <xdr:colOff>676415</xdr:colOff>
      <xdr:row>13</xdr:row>
      <xdr:rowOff>110436</xdr:rowOff>
    </xdr:from>
    <xdr:to>
      <xdr:col>4</xdr:col>
      <xdr:colOff>1231516</xdr:colOff>
      <xdr:row>13</xdr:row>
      <xdr:rowOff>1168362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266B422B-F253-40D2-8EAC-A3F7D5F90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40" y="5158686"/>
          <a:ext cx="555101" cy="673213"/>
        </a:xfrm>
        <a:prstGeom prst="rect">
          <a:avLst/>
        </a:prstGeom>
      </xdr:spPr>
    </xdr:pic>
    <xdr:clientData/>
  </xdr:twoCellAnchor>
  <xdr:twoCellAnchor editAs="oneCell">
    <xdr:from>
      <xdr:col>4</xdr:col>
      <xdr:colOff>69022</xdr:colOff>
      <xdr:row>13</xdr:row>
      <xdr:rowOff>110435</xdr:rowOff>
    </xdr:from>
    <xdr:to>
      <xdr:col>4</xdr:col>
      <xdr:colOff>620850</xdr:colOff>
      <xdr:row>13</xdr:row>
      <xdr:rowOff>1153305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9AC50B0A-0A30-4BE3-8E07-70D9E44A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1547" y="5158685"/>
          <a:ext cx="551828" cy="658157"/>
        </a:xfrm>
        <a:prstGeom prst="rect">
          <a:avLst/>
        </a:prstGeom>
      </xdr:spPr>
    </xdr:pic>
    <xdr:clientData/>
  </xdr:twoCellAnchor>
  <xdr:twoCellAnchor editAs="oneCell">
    <xdr:from>
      <xdr:col>4</xdr:col>
      <xdr:colOff>2502834</xdr:colOff>
      <xdr:row>14</xdr:row>
      <xdr:rowOff>83888</xdr:rowOff>
    </xdr:from>
    <xdr:to>
      <xdr:col>4</xdr:col>
      <xdr:colOff>3047898</xdr:colOff>
      <xdr:row>14</xdr:row>
      <xdr:rowOff>932535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FFEBBF7E-6F8F-4B09-AEA6-D3099831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359" y="6132263"/>
          <a:ext cx="545064" cy="657663"/>
        </a:xfrm>
        <a:prstGeom prst="rect">
          <a:avLst/>
        </a:prstGeom>
      </xdr:spPr>
    </xdr:pic>
    <xdr:clientData/>
  </xdr:twoCellAnchor>
  <xdr:twoCellAnchor editAs="oneCell">
    <xdr:from>
      <xdr:col>4</xdr:col>
      <xdr:colOff>1891196</xdr:colOff>
      <xdr:row>14</xdr:row>
      <xdr:rowOff>69022</xdr:rowOff>
    </xdr:from>
    <xdr:to>
      <xdr:col>4</xdr:col>
      <xdr:colOff>2431644</xdr:colOff>
      <xdr:row>14</xdr:row>
      <xdr:rowOff>931087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89B0B453-6EDB-4D1D-A9C8-0C5A0543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3721" y="6117397"/>
          <a:ext cx="540448" cy="671081"/>
        </a:xfrm>
        <a:prstGeom prst="rect">
          <a:avLst/>
        </a:prstGeom>
      </xdr:spPr>
    </xdr:pic>
    <xdr:clientData/>
  </xdr:twoCellAnchor>
  <xdr:twoCellAnchor editAs="oneCell">
    <xdr:from>
      <xdr:col>4</xdr:col>
      <xdr:colOff>1288053</xdr:colOff>
      <xdr:row>14</xdr:row>
      <xdr:rowOff>74331</xdr:rowOff>
    </xdr:from>
    <xdr:to>
      <xdr:col>4</xdr:col>
      <xdr:colOff>1843155</xdr:colOff>
      <xdr:row>14</xdr:row>
      <xdr:rowOff>929481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C6B3D8CC-4D0F-4C3A-B62B-04C28F2D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578" y="6122706"/>
          <a:ext cx="555102" cy="664166"/>
        </a:xfrm>
        <a:prstGeom prst="rect">
          <a:avLst/>
        </a:prstGeom>
      </xdr:spPr>
    </xdr:pic>
    <xdr:clientData/>
  </xdr:twoCellAnchor>
  <xdr:twoCellAnchor editAs="oneCell">
    <xdr:from>
      <xdr:col>4</xdr:col>
      <xdr:colOff>690219</xdr:colOff>
      <xdr:row>14</xdr:row>
      <xdr:rowOff>69023</xdr:rowOff>
    </xdr:from>
    <xdr:to>
      <xdr:col>4</xdr:col>
      <xdr:colOff>1245320</xdr:colOff>
      <xdr:row>14</xdr:row>
      <xdr:rowOff>934210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0AF9B5A9-CE81-41BB-8FD4-186740DDA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4" y="6117398"/>
          <a:ext cx="555101" cy="674203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14</xdr:row>
      <xdr:rowOff>82827</xdr:rowOff>
    </xdr:from>
    <xdr:to>
      <xdr:col>4</xdr:col>
      <xdr:colOff>634654</xdr:colOff>
      <xdr:row>14</xdr:row>
      <xdr:rowOff>932958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8C0030DE-1E83-4951-B80B-676D0A24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1" y="6131202"/>
          <a:ext cx="551828" cy="659147"/>
        </a:xfrm>
        <a:prstGeom prst="rect">
          <a:avLst/>
        </a:prstGeom>
      </xdr:spPr>
    </xdr:pic>
    <xdr:clientData/>
  </xdr:twoCellAnchor>
  <xdr:twoCellAnchor editAs="oneCell">
    <xdr:from>
      <xdr:col>4</xdr:col>
      <xdr:colOff>2502834</xdr:colOff>
      <xdr:row>15</xdr:row>
      <xdr:rowOff>82296</xdr:rowOff>
    </xdr:from>
    <xdr:to>
      <xdr:col>4</xdr:col>
      <xdr:colOff>3047898</xdr:colOff>
      <xdr:row>15</xdr:row>
      <xdr:rowOff>1121579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1BB89E8E-2163-4E1B-9ED0-D31C97E0C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359" y="6978396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1905000</xdr:colOff>
      <xdr:row>15</xdr:row>
      <xdr:rowOff>82825</xdr:rowOff>
    </xdr:from>
    <xdr:to>
      <xdr:col>4</xdr:col>
      <xdr:colOff>2445448</xdr:colOff>
      <xdr:row>15</xdr:row>
      <xdr:rowOff>1135526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A7B1970F-4C51-48A4-A97B-763BE161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6978925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1301857</xdr:colOff>
      <xdr:row>15</xdr:row>
      <xdr:rowOff>88135</xdr:rowOff>
    </xdr:from>
    <xdr:to>
      <xdr:col>4</xdr:col>
      <xdr:colOff>1856959</xdr:colOff>
      <xdr:row>15</xdr:row>
      <xdr:rowOff>1133921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FF3382CE-04F7-4621-AFE6-B143246FD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382" y="6984235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690219</xdr:colOff>
      <xdr:row>15</xdr:row>
      <xdr:rowOff>82826</xdr:rowOff>
    </xdr:from>
    <xdr:to>
      <xdr:col>4</xdr:col>
      <xdr:colOff>1245320</xdr:colOff>
      <xdr:row>15</xdr:row>
      <xdr:rowOff>1138649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A16ED3BB-6893-4CCE-9F0F-A11EB61B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4" y="6978926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15</xdr:row>
      <xdr:rowOff>69022</xdr:rowOff>
    </xdr:from>
    <xdr:to>
      <xdr:col>4</xdr:col>
      <xdr:colOff>634654</xdr:colOff>
      <xdr:row>15</xdr:row>
      <xdr:rowOff>1109789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76439ADE-A8FB-4427-9190-6288CDCE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1" y="6965122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2516639</xdr:colOff>
      <xdr:row>17</xdr:row>
      <xdr:rowOff>109903</xdr:rowOff>
    </xdr:from>
    <xdr:to>
      <xdr:col>4</xdr:col>
      <xdr:colOff>3061703</xdr:colOff>
      <xdr:row>17</xdr:row>
      <xdr:rowOff>764473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C68715EF-1753-4195-9A08-C7200916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9164" y="8730028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2516638</xdr:colOff>
      <xdr:row>16</xdr:row>
      <xdr:rowOff>85482</xdr:rowOff>
    </xdr:from>
    <xdr:to>
      <xdr:col>4</xdr:col>
      <xdr:colOff>3061702</xdr:colOff>
      <xdr:row>16</xdr:row>
      <xdr:rowOff>740052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61459EA3-ECB6-496C-9D76-51B19C56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9163" y="7848357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2530443</xdr:colOff>
      <xdr:row>18</xdr:row>
      <xdr:rowOff>166714</xdr:rowOff>
    </xdr:from>
    <xdr:to>
      <xdr:col>4</xdr:col>
      <xdr:colOff>3075507</xdr:colOff>
      <xdr:row>18</xdr:row>
      <xdr:rowOff>825243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5B04532B-94FB-423B-8924-BA0D29362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68" y="9653614"/>
          <a:ext cx="545064" cy="658529"/>
        </a:xfrm>
        <a:prstGeom prst="rect">
          <a:avLst/>
        </a:prstGeom>
      </xdr:spPr>
    </xdr:pic>
    <xdr:clientData/>
  </xdr:twoCellAnchor>
  <xdr:twoCellAnchor editAs="oneCell">
    <xdr:from>
      <xdr:col>4</xdr:col>
      <xdr:colOff>2553273</xdr:colOff>
      <xdr:row>19</xdr:row>
      <xdr:rowOff>61058</xdr:rowOff>
    </xdr:from>
    <xdr:to>
      <xdr:col>4</xdr:col>
      <xdr:colOff>3098337</xdr:colOff>
      <xdr:row>19</xdr:row>
      <xdr:rowOff>715628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E815249A-18E5-4E6B-B878-216E49D4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798" y="10481408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1905000</xdr:colOff>
      <xdr:row>16</xdr:row>
      <xdr:rowOff>69021</xdr:rowOff>
    </xdr:from>
    <xdr:to>
      <xdr:col>4</xdr:col>
      <xdr:colOff>2445448</xdr:colOff>
      <xdr:row>16</xdr:row>
      <xdr:rowOff>737009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EF7B2142-84A8-4596-BCD2-5AFC27BEE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7831896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1301857</xdr:colOff>
      <xdr:row>16</xdr:row>
      <xdr:rowOff>74331</xdr:rowOff>
    </xdr:from>
    <xdr:to>
      <xdr:col>4</xdr:col>
      <xdr:colOff>1856959</xdr:colOff>
      <xdr:row>16</xdr:row>
      <xdr:rowOff>735404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3B2D7A9D-8F7D-428C-A5A8-43FD6114F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382" y="7837206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717828</xdr:colOff>
      <xdr:row>16</xdr:row>
      <xdr:rowOff>55218</xdr:rowOff>
    </xdr:from>
    <xdr:to>
      <xdr:col>4</xdr:col>
      <xdr:colOff>1272929</xdr:colOff>
      <xdr:row>16</xdr:row>
      <xdr:rowOff>726328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2BD65AC1-8887-4845-9DA8-3163BD40E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0353" y="7818093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96630</xdr:colOff>
      <xdr:row>16</xdr:row>
      <xdr:rowOff>55218</xdr:rowOff>
    </xdr:from>
    <xdr:to>
      <xdr:col>4</xdr:col>
      <xdr:colOff>648458</xdr:colOff>
      <xdr:row>16</xdr:row>
      <xdr:rowOff>711272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0E15280D-253B-411A-B687-DACDF39C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155" y="7818093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1918805</xdr:colOff>
      <xdr:row>17</xdr:row>
      <xdr:rowOff>96630</xdr:rowOff>
    </xdr:from>
    <xdr:to>
      <xdr:col>4</xdr:col>
      <xdr:colOff>2459253</xdr:colOff>
      <xdr:row>17</xdr:row>
      <xdr:rowOff>764618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2336D7D5-EFDC-4598-ABCE-1DA44439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30" y="8716755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1329465</xdr:colOff>
      <xdr:row>17</xdr:row>
      <xdr:rowOff>101940</xdr:rowOff>
    </xdr:from>
    <xdr:to>
      <xdr:col>4</xdr:col>
      <xdr:colOff>1884567</xdr:colOff>
      <xdr:row>17</xdr:row>
      <xdr:rowOff>763013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11AABE98-2D4C-47DF-B57F-C1E86DB5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990" y="8722065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717827</xdr:colOff>
      <xdr:row>18</xdr:row>
      <xdr:rowOff>124239</xdr:rowOff>
    </xdr:from>
    <xdr:to>
      <xdr:col>4</xdr:col>
      <xdr:colOff>1272928</xdr:colOff>
      <xdr:row>18</xdr:row>
      <xdr:rowOff>795349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E64187D8-67D1-4C60-B09D-2721797D7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0352" y="9611139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17</xdr:row>
      <xdr:rowOff>41414</xdr:rowOff>
    </xdr:from>
    <xdr:to>
      <xdr:col>4</xdr:col>
      <xdr:colOff>634654</xdr:colOff>
      <xdr:row>17</xdr:row>
      <xdr:rowOff>697468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BD7114B5-1261-43A0-ABA7-61CCFE65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1" y="8661539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1946414</xdr:colOff>
      <xdr:row>18</xdr:row>
      <xdr:rowOff>124238</xdr:rowOff>
    </xdr:from>
    <xdr:to>
      <xdr:col>4</xdr:col>
      <xdr:colOff>2486862</xdr:colOff>
      <xdr:row>18</xdr:row>
      <xdr:rowOff>792226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E51A9866-B8A5-43ED-BBCE-BCA26E32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939" y="9611138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1315661</xdr:colOff>
      <xdr:row>18</xdr:row>
      <xdr:rowOff>157157</xdr:rowOff>
    </xdr:from>
    <xdr:to>
      <xdr:col>4</xdr:col>
      <xdr:colOff>1870763</xdr:colOff>
      <xdr:row>18</xdr:row>
      <xdr:rowOff>822189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EC8C42F3-502C-43F7-BF6E-95F114F0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186" y="9644057"/>
          <a:ext cx="555102" cy="665032"/>
        </a:xfrm>
        <a:prstGeom prst="rect">
          <a:avLst/>
        </a:prstGeom>
      </xdr:spPr>
    </xdr:pic>
    <xdr:clientData/>
  </xdr:twoCellAnchor>
  <xdr:twoCellAnchor editAs="oneCell">
    <xdr:from>
      <xdr:col>4</xdr:col>
      <xdr:colOff>704023</xdr:colOff>
      <xdr:row>17</xdr:row>
      <xdr:rowOff>96631</xdr:rowOff>
    </xdr:from>
    <xdr:to>
      <xdr:col>4</xdr:col>
      <xdr:colOff>1259124</xdr:colOff>
      <xdr:row>17</xdr:row>
      <xdr:rowOff>767741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DF49F362-69D0-4A85-B6B9-A6312889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8" y="8716756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110435</xdr:colOff>
      <xdr:row>18</xdr:row>
      <xdr:rowOff>124240</xdr:rowOff>
    </xdr:from>
    <xdr:to>
      <xdr:col>4</xdr:col>
      <xdr:colOff>662263</xdr:colOff>
      <xdr:row>18</xdr:row>
      <xdr:rowOff>780294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D4F321FD-ABF3-4827-9F45-A5E18CD8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0" y="9611140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1946414</xdr:colOff>
      <xdr:row>19</xdr:row>
      <xdr:rowOff>69021</xdr:rowOff>
    </xdr:from>
    <xdr:to>
      <xdr:col>4</xdr:col>
      <xdr:colOff>2486862</xdr:colOff>
      <xdr:row>19</xdr:row>
      <xdr:rowOff>737009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A6C16333-288E-450F-BDCC-C7B8C757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939" y="10489371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1329466</xdr:colOff>
      <xdr:row>19</xdr:row>
      <xdr:rowOff>60527</xdr:rowOff>
    </xdr:from>
    <xdr:to>
      <xdr:col>4</xdr:col>
      <xdr:colOff>1884568</xdr:colOff>
      <xdr:row>19</xdr:row>
      <xdr:rowOff>721600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7D41B43C-6227-4716-AA10-22045D412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991" y="10480877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731631</xdr:colOff>
      <xdr:row>19</xdr:row>
      <xdr:rowOff>41413</xdr:rowOff>
    </xdr:from>
    <xdr:to>
      <xdr:col>4</xdr:col>
      <xdr:colOff>1286732</xdr:colOff>
      <xdr:row>19</xdr:row>
      <xdr:rowOff>712523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E7231289-A304-4B59-B765-4239D4DFD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156" y="10461763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110435</xdr:colOff>
      <xdr:row>19</xdr:row>
      <xdr:rowOff>69022</xdr:rowOff>
    </xdr:from>
    <xdr:to>
      <xdr:col>4</xdr:col>
      <xdr:colOff>662263</xdr:colOff>
      <xdr:row>19</xdr:row>
      <xdr:rowOff>725076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A510A2F5-0228-46DB-9308-B481D8CC7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0" y="10489372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2565485</xdr:colOff>
      <xdr:row>21</xdr:row>
      <xdr:rowOff>71676</xdr:rowOff>
    </xdr:from>
    <xdr:to>
      <xdr:col>4</xdr:col>
      <xdr:colOff>3110549</xdr:colOff>
      <xdr:row>21</xdr:row>
      <xdr:rowOff>726246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4BC48D19-4723-4009-8DED-CEFE0488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1396901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1960218</xdr:colOff>
      <xdr:row>21</xdr:row>
      <xdr:rowOff>55217</xdr:rowOff>
    </xdr:from>
    <xdr:to>
      <xdr:col>4</xdr:col>
      <xdr:colOff>2500666</xdr:colOff>
      <xdr:row>21</xdr:row>
      <xdr:rowOff>723205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4B607227-B507-47D5-AF77-020E7318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1380442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1357075</xdr:colOff>
      <xdr:row>21</xdr:row>
      <xdr:rowOff>60527</xdr:rowOff>
    </xdr:from>
    <xdr:to>
      <xdr:col>4</xdr:col>
      <xdr:colOff>1912177</xdr:colOff>
      <xdr:row>21</xdr:row>
      <xdr:rowOff>721600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E9FBF2C6-B885-42D6-A32E-9AD211E0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1385752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745435</xdr:colOff>
      <xdr:row>21</xdr:row>
      <xdr:rowOff>55217</xdr:rowOff>
    </xdr:from>
    <xdr:to>
      <xdr:col>4</xdr:col>
      <xdr:colOff>1300536</xdr:colOff>
      <xdr:row>21</xdr:row>
      <xdr:rowOff>726327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FA9C3703-7B36-424F-AFCA-823EE714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1380442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138043</xdr:colOff>
      <xdr:row>21</xdr:row>
      <xdr:rowOff>69022</xdr:rowOff>
    </xdr:from>
    <xdr:to>
      <xdr:col>4</xdr:col>
      <xdr:colOff>689871</xdr:colOff>
      <xdr:row>21</xdr:row>
      <xdr:rowOff>725076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D820D230-2B58-446A-AA1B-C8E86636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1394247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2565485</xdr:colOff>
      <xdr:row>22</xdr:row>
      <xdr:rowOff>71676</xdr:rowOff>
    </xdr:from>
    <xdr:to>
      <xdr:col>4</xdr:col>
      <xdr:colOff>3110549</xdr:colOff>
      <xdr:row>22</xdr:row>
      <xdr:rowOff>732184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67DC59B6-4A73-431E-BC43-63C0ED82E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2254151"/>
          <a:ext cx="545064" cy="660508"/>
        </a:xfrm>
        <a:prstGeom prst="rect">
          <a:avLst/>
        </a:prstGeom>
      </xdr:spPr>
    </xdr:pic>
    <xdr:clientData/>
  </xdr:twoCellAnchor>
  <xdr:twoCellAnchor editAs="oneCell">
    <xdr:from>
      <xdr:col>4</xdr:col>
      <xdr:colOff>1960218</xdr:colOff>
      <xdr:row>22</xdr:row>
      <xdr:rowOff>55217</xdr:rowOff>
    </xdr:from>
    <xdr:to>
      <xdr:col>4</xdr:col>
      <xdr:colOff>2500666</xdr:colOff>
      <xdr:row>22</xdr:row>
      <xdr:rowOff>723205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AF0452CA-94B3-4136-B484-EB7719A1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2237692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1357075</xdr:colOff>
      <xdr:row>22</xdr:row>
      <xdr:rowOff>60527</xdr:rowOff>
    </xdr:from>
    <xdr:to>
      <xdr:col>4</xdr:col>
      <xdr:colOff>1912177</xdr:colOff>
      <xdr:row>22</xdr:row>
      <xdr:rowOff>721600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E303B647-1B8E-4202-9588-D9FD59EA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2243002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745435</xdr:colOff>
      <xdr:row>22</xdr:row>
      <xdr:rowOff>55217</xdr:rowOff>
    </xdr:from>
    <xdr:to>
      <xdr:col>4</xdr:col>
      <xdr:colOff>1300536</xdr:colOff>
      <xdr:row>22</xdr:row>
      <xdr:rowOff>732265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29044203-E33A-4942-A02C-53798E92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2237692"/>
          <a:ext cx="555101" cy="677048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138043</xdr:colOff>
      <xdr:row>22</xdr:row>
      <xdr:rowOff>69022</xdr:rowOff>
    </xdr:from>
    <xdr:to>
      <xdr:col>4</xdr:col>
      <xdr:colOff>689871</xdr:colOff>
      <xdr:row>22</xdr:row>
      <xdr:rowOff>731014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6F20DD65-020B-4435-B103-ABC739779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2251497"/>
          <a:ext cx="551828" cy="661992"/>
        </a:xfrm>
        <a:prstGeom prst="rect">
          <a:avLst/>
        </a:prstGeom>
      </xdr:spPr>
    </xdr:pic>
    <xdr:clientData/>
  </xdr:twoCellAnchor>
  <xdr:oneCellAnchor>
    <xdr:from>
      <xdr:col>4</xdr:col>
      <xdr:colOff>2565485</xdr:colOff>
      <xdr:row>23</xdr:row>
      <xdr:rowOff>71676</xdr:rowOff>
    </xdr:from>
    <xdr:ext cx="545064" cy="654570"/>
    <xdr:pic>
      <xdr:nvPicPr>
        <xdr:cNvPr id="580" name="Picture 579">
          <a:extLst>
            <a:ext uri="{FF2B5EF4-FFF2-40B4-BE49-F238E27FC236}">
              <a16:creationId xmlns:a16="http://schemas.microsoft.com/office/drawing/2014/main" id="{9153A7AC-74DB-43B8-B546-B27511DC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3111401"/>
          <a:ext cx="545064" cy="654570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23</xdr:row>
      <xdr:rowOff>55217</xdr:rowOff>
    </xdr:from>
    <xdr:ext cx="540448" cy="667988"/>
    <xdr:pic>
      <xdr:nvPicPr>
        <xdr:cNvPr id="581" name="Picture 580">
          <a:extLst>
            <a:ext uri="{FF2B5EF4-FFF2-40B4-BE49-F238E27FC236}">
              <a16:creationId xmlns:a16="http://schemas.microsoft.com/office/drawing/2014/main" id="{D90B6613-93B1-44FA-BC87-40DAC8D4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30949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23</xdr:row>
      <xdr:rowOff>60527</xdr:rowOff>
    </xdr:from>
    <xdr:ext cx="555102" cy="661073"/>
    <xdr:pic>
      <xdr:nvPicPr>
        <xdr:cNvPr id="582" name="Picture 581">
          <a:extLst>
            <a:ext uri="{FF2B5EF4-FFF2-40B4-BE49-F238E27FC236}">
              <a16:creationId xmlns:a16="http://schemas.microsoft.com/office/drawing/2014/main" id="{927FB1FE-D4DE-4ED9-9C23-04AAFDF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31002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23</xdr:row>
      <xdr:rowOff>55217</xdr:rowOff>
    </xdr:from>
    <xdr:ext cx="555101" cy="671110"/>
    <xdr:pic>
      <xdr:nvPicPr>
        <xdr:cNvPr id="583" name="Picture 582">
          <a:extLst>
            <a:ext uri="{FF2B5EF4-FFF2-40B4-BE49-F238E27FC236}">
              <a16:creationId xmlns:a16="http://schemas.microsoft.com/office/drawing/2014/main" id="{CB72ED86-BE34-4BB7-9F05-A32FC76B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3094942"/>
          <a:ext cx="555101" cy="671110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23</xdr:row>
      <xdr:rowOff>69022</xdr:rowOff>
    </xdr:from>
    <xdr:ext cx="551828" cy="656054"/>
    <xdr:pic>
      <xdr:nvPicPr>
        <xdr:cNvPr id="584" name="Picture 583">
          <a:extLst>
            <a:ext uri="{FF2B5EF4-FFF2-40B4-BE49-F238E27FC236}">
              <a16:creationId xmlns:a16="http://schemas.microsoft.com/office/drawing/2014/main" id="{A1500555-206A-4F1C-8552-54409DDA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3108747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24</xdr:row>
      <xdr:rowOff>71676</xdr:rowOff>
    </xdr:from>
    <xdr:ext cx="545064" cy="660508"/>
    <xdr:pic>
      <xdr:nvPicPr>
        <xdr:cNvPr id="585" name="Picture 584">
          <a:extLst>
            <a:ext uri="{FF2B5EF4-FFF2-40B4-BE49-F238E27FC236}">
              <a16:creationId xmlns:a16="http://schemas.microsoft.com/office/drawing/2014/main" id="{BCCD5C8F-A3EB-4D92-8E85-959591B6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404485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24</xdr:row>
      <xdr:rowOff>55217</xdr:rowOff>
    </xdr:from>
    <xdr:ext cx="540448" cy="667988"/>
    <xdr:pic>
      <xdr:nvPicPr>
        <xdr:cNvPr id="586" name="Picture 585">
          <a:extLst>
            <a:ext uri="{FF2B5EF4-FFF2-40B4-BE49-F238E27FC236}">
              <a16:creationId xmlns:a16="http://schemas.microsoft.com/office/drawing/2014/main" id="{AF9778CA-C12E-42A9-9721-72E008E4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402839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24</xdr:row>
      <xdr:rowOff>60527</xdr:rowOff>
    </xdr:from>
    <xdr:ext cx="555102" cy="661073"/>
    <xdr:pic>
      <xdr:nvPicPr>
        <xdr:cNvPr id="587" name="Picture 586">
          <a:extLst>
            <a:ext uri="{FF2B5EF4-FFF2-40B4-BE49-F238E27FC236}">
              <a16:creationId xmlns:a16="http://schemas.microsoft.com/office/drawing/2014/main" id="{BC1D46FA-5D83-487A-B044-FD15E05F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403370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24</xdr:row>
      <xdr:rowOff>55217</xdr:rowOff>
    </xdr:from>
    <xdr:ext cx="555101" cy="677048"/>
    <xdr:pic>
      <xdr:nvPicPr>
        <xdr:cNvPr id="588" name="Picture 587">
          <a:extLst>
            <a:ext uri="{FF2B5EF4-FFF2-40B4-BE49-F238E27FC236}">
              <a16:creationId xmlns:a16="http://schemas.microsoft.com/office/drawing/2014/main" id="{340F8BF6-E960-46A2-97FD-B9E0B41B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402839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24</xdr:row>
      <xdr:rowOff>69022</xdr:rowOff>
    </xdr:from>
    <xdr:ext cx="551828" cy="661992"/>
    <xdr:pic>
      <xdr:nvPicPr>
        <xdr:cNvPr id="589" name="Picture 588">
          <a:extLst>
            <a:ext uri="{FF2B5EF4-FFF2-40B4-BE49-F238E27FC236}">
              <a16:creationId xmlns:a16="http://schemas.microsoft.com/office/drawing/2014/main" id="{D67E18D1-EB6F-4F9B-AACC-6690DA15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4042197"/>
          <a:ext cx="551828" cy="661992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25</xdr:row>
      <xdr:rowOff>71676</xdr:rowOff>
    </xdr:from>
    <xdr:ext cx="545064" cy="660508"/>
    <xdr:pic>
      <xdr:nvPicPr>
        <xdr:cNvPr id="590" name="Picture 589">
          <a:extLst>
            <a:ext uri="{FF2B5EF4-FFF2-40B4-BE49-F238E27FC236}">
              <a16:creationId xmlns:a16="http://schemas.microsoft.com/office/drawing/2014/main" id="{B4957FCF-7F7E-4E4F-9C55-1C06489F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524500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25</xdr:row>
      <xdr:rowOff>55217</xdr:rowOff>
    </xdr:from>
    <xdr:ext cx="540448" cy="667988"/>
    <xdr:pic>
      <xdr:nvPicPr>
        <xdr:cNvPr id="591" name="Picture 590">
          <a:extLst>
            <a:ext uri="{FF2B5EF4-FFF2-40B4-BE49-F238E27FC236}">
              <a16:creationId xmlns:a16="http://schemas.microsoft.com/office/drawing/2014/main" id="{196474D6-5613-4097-B21C-31B09B46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52285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25</xdr:row>
      <xdr:rowOff>60527</xdr:rowOff>
    </xdr:from>
    <xdr:ext cx="555102" cy="661073"/>
    <xdr:pic>
      <xdr:nvPicPr>
        <xdr:cNvPr id="592" name="Picture 591">
          <a:extLst>
            <a:ext uri="{FF2B5EF4-FFF2-40B4-BE49-F238E27FC236}">
              <a16:creationId xmlns:a16="http://schemas.microsoft.com/office/drawing/2014/main" id="{6850CDA6-8E56-40AF-B8CE-14432A92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52338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25</xdr:row>
      <xdr:rowOff>55217</xdr:rowOff>
    </xdr:from>
    <xdr:ext cx="555101" cy="677048"/>
    <xdr:pic>
      <xdr:nvPicPr>
        <xdr:cNvPr id="593" name="Picture 592">
          <a:extLst>
            <a:ext uri="{FF2B5EF4-FFF2-40B4-BE49-F238E27FC236}">
              <a16:creationId xmlns:a16="http://schemas.microsoft.com/office/drawing/2014/main" id="{4F472584-FE5D-41F7-84B2-1AB357E6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522854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25</xdr:row>
      <xdr:rowOff>69022</xdr:rowOff>
    </xdr:from>
    <xdr:ext cx="551828" cy="661992"/>
    <xdr:pic>
      <xdr:nvPicPr>
        <xdr:cNvPr id="594" name="Picture 593">
          <a:extLst>
            <a:ext uri="{FF2B5EF4-FFF2-40B4-BE49-F238E27FC236}">
              <a16:creationId xmlns:a16="http://schemas.microsoft.com/office/drawing/2014/main" id="{7196FBE1-D33D-45DE-BBC2-AF443197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5242347"/>
          <a:ext cx="551828" cy="661992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26</xdr:row>
      <xdr:rowOff>71676</xdr:rowOff>
    </xdr:from>
    <xdr:ext cx="545064" cy="660508"/>
    <xdr:pic>
      <xdr:nvPicPr>
        <xdr:cNvPr id="595" name="Picture 594">
          <a:extLst>
            <a:ext uri="{FF2B5EF4-FFF2-40B4-BE49-F238E27FC236}">
              <a16:creationId xmlns:a16="http://schemas.microsoft.com/office/drawing/2014/main" id="{C93EDFAC-CA45-465B-AB98-0CB4CD13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604510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26</xdr:row>
      <xdr:rowOff>55217</xdr:rowOff>
    </xdr:from>
    <xdr:ext cx="540448" cy="667988"/>
    <xdr:pic>
      <xdr:nvPicPr>
        <xdr:cNvPr id="596" name="Picture 595">
          <a:extLst>
            <a:ext uri="{FF2B5EF4-FFF2-40B4-BE49-F238E27FC236}">
              <a16:creationId xmlns:a16="http://schemas.microsoft.com/office/drawing/2014/main" id="{9CFC7B6B-5C53-4820-95DF-22A35B21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60286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26</xdr:row>
      <xdr:rowOff>60527</xdr:rowOff>
    </xdr:from>
    <xdr:ext cx="555102" cy="661073"/>
    <xdr:pic>
      <xdr:nvPicPr>
        <xdr:cNvPr id="597" name="Picture 596">
          <a:extLst>
            <a:ext uri="{FF2B5EF4-FFF2-40B4-BE49-F238E27FC236}">
              <a16:creationId xmlns:a16="http://schemas.microsoft.com/office/drawing/2014/main" id="{8A5E4AEB-4EC1-4C88-987F-C1252DB89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60339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26</xdr:row>
      <xdr:rowOff>55217</xdr:rowOff>
    </xdr:from>
    <xdr:ext cx="555101" cy="677048"/>
    <xdr:pic>
      <xdr:nvPicPr>
        <xdr:cNvPr id="598" name="Picture 597">
          <a:extLst>
            <a:ext uri="{FF2B5EF4-FFF2-40B4-BE49-F238E27FC236}">
              <a16:creationId xmlns:a16="http://schemas.microsoft.com/office/drawing/2014/main" id="{E5B10814-AFE3-4EF9-B47B-AAA30FA38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602864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26</xdr:row>
      <xdr:rowOff>69022</xdr:rowOff>
    </xdr:from>
    <xdr:ext cx="551828" cy="661992"/>
    <xdr:pic>
      <xdr:nvPicPr>
        <xdr:cNvPr id="599" name="Picture 598">
          <a:extLst>
            <a:ext uri="{FF2B5EF4-FFF2-40B4-BE49-F238E27FC236}">
              <a16:creationId xmlns:a16="http://schemas.microsoft.com/office/drawing/2014/main" id="{80BA54C9-56BC-43DB-B197-A5444C46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6042447"/>
          <a:ext cx="551828" cy="661992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27</xdr:row>
      <xdr:rowOff>71676</xdr:rowOff>
    </xdr:from>
    <xdr:ext cx="545064" cy="660508"/>
    <xdr:pic>
      <xdr:nvPicPr>
        <xdr:cNvPr id="600" name="Picture 599">
          <a:extLst>
            <a:ext uri="{FF2B5EF4-FFF2-40B4-BE49-F238E27FC236}">
              <a16:creationId xmlns:a16="http://schemas.microsoft.com/office/drawing/2014/main" id="{0F700670-2A77-47AD-8E4C-1055BFBA2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684520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27</xdr:row>
      <xdr:rowOff>55217</xdr:rowOff>
    </xdr:from>
    <xdr:ext cx="540448" cy="667988"/>
    <xdr:pic>
      <xdr:nvPicPr>
        <xdr:cNvPr id="601" name="Picture 600">
          <a:extLst>
            <a:ext uri="{FF2B5EF4-FFF2-40B4-BE49-F238E27FC236}">
              <a16:creationId xmlns:a16="http://schemas.microsoft.com/office/drawing/2014/main" id="{2B6D579A-DA29-474A-BFF0-02E96641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68287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27</xdr:row>
      <xdr:rowOff>60527</xdr:rowOff>
    </xdr:from>
    <xdr:ext cx="555102" cy="661073"/>
    <xdr:pic>
      <xdr:nvPicPr>
        <xdr:cNvPr id="602" name="Picture 601">
          <a:extLst>
            <a:ext uri="{FF2B5EF4-FFF2-40B4-BE49-F238E27FC236}">
              <a16:creationId xmlns:a16="http://schemas.microsoft.com/office/drawing/2014/main" id="{C855826B-C1D6-4FED-A52B-A446FAEF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68340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27</xdr:row>
      <xdr:rowOff>55217</xdr:rowOff>
    </xdr:from>
    <xdr:ext cx="555101" cy="677048"/>
    <xdr:pic>
      <xdr:nvPicPr>
        <xdr:cNvPr id="603" name="Picture 602">
          <a:extLst>
            <a:ext uri="{FF2B5EF4-FFF2-40B4-BE49-F238E27FC236}">
              <a16:creationId xmlns:a16="http://schemas.microsoft.com/office/drawing/2014/main" id="{0AC168C9-EA9C-4095-801B-E3991436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682874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27</xdr:row>
      <xdr:rowOff>69022</xdr:rowOff>
    </xdr:from>
    <xdr:ext cx="551828" cy="661992"/>
    <xdr:pic>
      <xdr:nvPicPr>
        <xdr:cNvPr id="604" name="Picture 603">
          <a:extLst>
            <a:ext uri="{FF2B5EF4-FFF2-40B4-BE49-F238E27FC236}">
              <a16:creationId xmlns:a16="http://schemas.microsoft.com/office/drawing/2014/main" id="{62DEED50-4816-451C-9B82-304F9681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6842547"/>
          <a:ext cx="551828" cy="661992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28</xdr:row>
      <xdr:rowOff>71676</xdr:rowOff>
    </xdr:from>
    <xdr:ext cx="545064" cy="660508"/>
    <xdr:pic>
      <xdr:nvPicPr>
        <xdr:cNvPr id="605" name="Picture 604">
          <a:extLst>
            <a:ext uri="{FF2B5EF4-FFF2-40B4-BE49-F238E27FC236}">
              <a16:creationId xmlns:a16="http://schemas.microsoft.com/office/drawing/2014/main" id="{C1DBCB57-2C95-4D72-96DF-9462100B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764530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28</xdr:row>
      <xdr:rowOff>55217</xdr:rowOff>
    </xdr:from>
    <xdr:ext cx="540448" cy="667988"/>
    <xdr:pic>
      <xdr:nvPicPr>
        <xdr:cNvPr id="606" name="Picture 605">
          <a:extLst>
            <a:ext uri="{FF2B5EF4-FFF2-40B4-BE49-F238E27FC236}">
              <a16:creationId xmlns:a16="http://schemas.microsoft.com/office/drawing/2014/main" id="{82982BC6-6DD8-4AC2-BBD9-FE3FEB9F1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76288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28</xdr:row>
      <xdr:rowOff>60527</xdr:rowOff>
    </xdr:from>
    <xdr:ext cx="555102" cy="661073"/>
    <xdr:pic>
      <xdr:nvPicPr>
        <xdr:cNvPr id="607" name="Picture 606">
          <a:extLst>
            <a:ext uri="{FF2B5EF4-FFF2-40B4-BE49-F238E27FC236}">
              <a16:creationId xmlns:a16="http://schemas.microsoft.com/office/drawing/2014/main" id="{703F16DE-D78B-43AF-988B-DAD5FE2FE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76341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28</xdr:row>
      <xdr:rowOff>55217</xdr:rowOff>
    </xdr:from>
    <xdr:ext cx="555101" cy="677048"/>
    <xdr:pic>
      <xdr:nvPicPr>
        <xdr:cNvPr id="608" name="Picture 607">
          <a:extLst>
            <a:ext uri="{FF2B5EF4-FFF2-40B4-BE49-F238E27FC236}">
              <a16:creationId xmlns:a16="http://schemas.microsoft.com/office/drawing/2014/main" id="{CBEAA59D-6143-43A5-9353-F60E56B1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762884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28</xdr:row>
      <xdr:rowOff>69022</xdr:rowOff>
    </xdr:from>
    <xdr:ext cx="551828" cy="661992"/>
    <xdr:pic>
      <xdr:nvPicPr>
        <xdr:cNvPr id="609" name="Picture 608">
          <a:extLst>
            <a:ext uri="{FF2B5EF4-FFF2-40B4-BE49-F238E27FC236}">
              <a16:creationId xmlns:a16="http://schemas.microsoft.com/office/drawing/2014/main" id="{C56B71BA-D0D2-49E6-B743-FA683873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7642647"/>
          <a:ext cx="551828" cy="661992"/>
        </a:xfrm>
        <a:prstGeom prst="rect">
          <a:avLst/>
        </a:prstGeom>
      </xdr:spPr>
    </xdr:pic>
    <xdr:clientData/>
  </xdr:oneCellAnchor>
  <xdr:oneCellAnchor>
    <xdr:from>
      <xdr:col>4</xdr:col>
      <xdr:colOff>2565485</xdr:colOff>
      <xdr:row>29</xdr:row>
      <xdr:rowOff>71676</xdr:rowOff>
    </xdr:from>
    <xdr:ext cx="545064" cy="660508"/>
    <xdr:pic>
      <xdr:nvPicPr>
        <xdr:cNvPr id="610" name="Picture 609">
          <a:extLst>
            <a:ext uri="{FF2B5EF4-FFF2-40B4-BE49-F238E27FC236}">
              <a16:creationId xmlns:a16="http://schemas.microsoft.com/office/drawing/2014/main" id="{CC119D3F-8E55-4452-A701-CB742082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8445401"/>
          <a:ext cx="545064" cy="660508"/>
        </a:xfrm>
        <a:prstGeom prst="rect">
          <a:avLst/>
        </a:prstGeom>
      </xdr:spPr>
    </xdr:pic>
    <xdr:clientData/>
  </xdr:oneCellAnchor>
  <xdr:oneCellAnchor>
    <xdr:from>
      <xdr:col>4</xdr:col>
      <xdr:colOff>1960218</xdr:colOff>
      <xdr:row>29</xdr:row>
      <xdr:rowOff>55217</xdr:rowOff>
    </xdr:from>
    <xdr:ext cx="540448" cy="667988"/>
    <xdr:pic>
      <xdr:nvPicPr>
        <xdr:cNvPr id="611" name="Picture 610">
          <a:extLst>
            <a:ext uri="{FF2B5EF4-FFF2-40B4-BE49-F238E27FC236}">
              <a16:creationId xmlns:a16="http://schemas.microsoft.com/office/drawing/2014/main" id="{ED39FB8B-90BD-4CED-9401-E2CA3423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8428942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1357075</xdr:colOff>
      <xdr:row>29</xdr:row>
      <xdr:rowOff>60527</xdr:rowOff>
    </xdr:from>
    <xdr:ext cx="555102" cy="661073"/>
    <xdr:pic>
      <xdr:nvPicPr>
        <xdr:cNvPr id="612" name="Picture 611">
          <a:extLst>
            <a:ext uri="{FF2B5EF4-FFF2-40B4-BE49-F238E27FC236}">
              <a16:creationId xmlns:a16="http://schemas.microsoft.com/office/drawing/2014/main" id="{756ECF8E-F419-4D0D-AFE8-A44495E8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8434252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745435</xdr:colOff>
      <xdr:row>29</xdr:row>
      <xdr:rowOff>55217</xdr:rowOff>
    </xdr:from>
    <xdr:ext cx="555101" cy="677048"/>
    <xdr:pic>
      <xdr:nvPicPr>
        <xdr:cNvPr id="613" name="Picture 612">
          <a:extLst>
            <a:ext uri="{FF2B5EF4-FFF2-40B4-BE49-F238E27FC236}">
              <a16:creationId xmlns:a16="http://schemas.microsoft.com/office/drawing/2014/main" id="{82283C21-370A-4C97-BCDD-D93A371F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8428942"/>
          <a:ext cx="555101" cy="677048"/>
        </a:xfrm>
        <a:prstGeom prst="rect">
          <a:avLst/>
        </a:prstGeom>
      </xdr:spPr>
    </xdr:pic>
    <xdr:clientData/>
  </xdr:oneCellAnchor>
  <xdr:oneCellAnchor>
    <xdr:from>
      <xdr:col>4</xdr:col>
      <xdr:colOff>138043</xdr:colOff>
      <xdr:row>29</xdr:row>
      <xdr:rowOff>69022</xdr:rowOff>
    </xdr:from>
    <xdr:ext cx="551828" cy="661992"/>
    <xdr:pic>
      <xdr:nvPicPr>
        <xdr:cNvPr id="614" name="Picture 613">
          <a:extLst>
            <a:ext uri="{FF2B5EF4-FFF2-40B4-BE49-F238E27FC236}">
              <a16:creationId xmlns:a16="http://schemas.microsoft.com/office/drawing/2014/main" id="{56DF0653-79B1-4C7B-856A-B0258B08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8442747"/>
          <a:ext cx="551828" cy="661992"/>
        </a:xfrm>
        <a:prstGeom prst="rect">
          <a:avLst/>
        </a:prstGeom>
      </xdr:spPr>
    </xdr:pic>
    <xdr:clientData/>
  </xdr:oneCellAnchor>
  <xdr:twoCellAnchor editAs="oneCell">
    <xdr:from>
      <xdr:col>4</xdr:col>
      <xdr:colOff>1341676</xdr:colOff>
      <xdr:row>30</xdr:row>
      <xdr:rowOff>66385</xdr:rowOff>
    </xdr:from>
    <xdr:to>
      <xdr:col>4</xdr:col>
      <xdr:colOff>1886740</xdr:colOff>
      <xdr:row>30</xdr:row>
      <xdr:rowOff>724913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FCA7AC72-CA89-49D9-8E33-8BB02D22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19240210"/>
          <a:ext cx="545064" cy="658528"/>
        </a:xfrm>
        <a:prstGeom prst="rect">
          <a:avLst/>
        </a:prstGeom>
      </xdr:spPr>
    </xdr:pic>
    <xdr:clientData/>
  </xdr:twoCellAnchor>
  <xdr:twoCellAnchor editAs="oneCell">
    <xdr:from>
      <xdr:col>4</xdr:col>
      <xdr:colOff>110436</xdr:colOff>
      <xdr:row>30</xdr:row>
      <xdr:rowOff>93406</xdr:rowOff>
    </xdr:from>
    <xdr:to>
      <xdr:col>4</xdr:col>
      <xdr:colOff>650884</xdr:colOff>
      <xdr:row>30</xdr:row>
      <xdr:rowOff>727252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95A4923D-9A09-4515-895F-8E3CDBF1D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19267231"/>
          <a:ext cx="540448" cy="633846"/>
        </a:xfrm>
        <a:prstGeom prst="rect">
          <a:avLst/>
        </a:prstGeom>
      </xdr:spPr>
    </xdr:pic>
    <xdr:clientData/>
  </xdr:twoCellAnchor>
  <xdr:twoCellAnchor editAs="oneCell">
    <xdr:from>
      <xdr:col>4</xdr:col>
      <xdr:colOff>704022</xdr:colOff>
      <xdr:row>30</xdr:row>
      <xdr:rowOff>81035</xdr:rowOff>
    </xdr:from>
    <xdr:to>
      <xdr:col>4</xdr:col>
      <xdr:colOff>1279523</xdr:colOff>
      <xdr:row>30</xdr:row>
      <xdr:rowOff>754841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B296D028-AA18-4B21-A80B-A3B7DBA86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19254860"/>
          <a:ext cx="575501" cy="673806"/>
        </a:xfrm>
        <a:prstGeom prst="rect">
          <a:avLst/>
        </a:prstGeom>
      </xdr:spPr>
    </xdr:pic>
    <xdr:clientData/>
  </xdr:twoCellAnchor>
  <xdr:oneCellAnchor>
    <xdr:from>
      <xdr:col>4</xdr:col>
      <xdr:colOff>1341676</xdr:colOff>
      <xdr:row>31</xdr:row>
      <xdr:rowOff>66385</xdr:rowOff>
    </xdr:from>
    <xdr:ext cx="545064" cy="658528"/>
    <xdr:pic>
      <xdr:nvPicPr>
        <xdr:cNvPr id="618" name="Picture 617">
          <a:extLst>
            <a:ext uri="{FF2B5EF4-FFF2-40B4-BE49-F238E27FC236}">
              <a16:creationId xmlns:a16="http://schemas.microsoft.com/office/drawing/2014/main" id="{723BDEBB-642D-4CDE-A336-5700963B8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00403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31</xdr:row>
      <xdr:rowOff>93406</xdr:rowOff>
    </xdr:from>
    <xdr:ext cx="540448" cy="633846"/>
    <xdr:pic>
      <xdr:nvPicPr>
        <xdr:cNvPr id="619" name="Picture 618">
          <a:extLst>
            <a:ext uri="{FF2B5EF4-FFF2-40B4-BE49-F238E27FC236}">
              <a16:creationId xmlns:a16="http://schemas.microsoft.com/office/drawing/2014/main" id="{BCAD1FF3-3E86-4166-A4E1-B4133CEA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00673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31</xdr:row>
      <xdr:rowOff>81035</xdr:rowOff>
    </xdr:from>
    <xdr:ext cx="575501" cy="673806"/>
    <xdr:pic>
      <xdr:nvPicPr>
        <xdr:cNvPr id="620" name="Picture 619">
          <a:extLst>
            <a:ext uri="{FF2B5EF4-FFF2-40B4-BE49-F238E27FC236}">
              <a16:creationId xmlns:a16="http://schemas.microsoft.com/office/drawing/2014/main" id="{840C4299-30BC-408A-9ECD-DF90C8D5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005496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32</xdr:row>
      <xdr:rowOff>66385</xdr:rowOff>
    </xdr:from>
    <xdr:ext cx="545064" cy="658528"/>
    <xdr:pic>
      <xdr:nvPicPr>
        <xdr:cNvPr id="621" name="Picture 620">
          <a:extLst>
            <a:ext uri="{FF2B5EF4-FFF2-40B4-BE49-F238E27FC236}">
              <a16:creationId xmlns:a16="http://schemas.microsoft.com/office/drawing/2014/main" id="{DA510E7D-E556-45B8-BA95-FDE686B3F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09547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32</xdr:row>
      <xdr:rowOff>93406</xdr:rowOff>
    </xdr:from>
    <xdr:ext cx="540448" cy="633846"/>
    <xdr:pic>
      <xdr:nvPicPr>
        <xdr:cNvPr id="622" name="Picture 621">
          <a:extLst>
            <a:ext uri="{FF2B5EF4-FFF2-40B4-BE49-F238E27FC236}">
              <a16:creationId xmlns:a16="http://schemas.microsoft.com/office/drawing/2014/main" id="{8E8F36E4-7CA0-4FDF-9D5A-F7E924F1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09817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32</xdr:row>
      <xdr:rowOff>81035</xdr:rowOff>
    </xdr:from>
    <xdr:ext cx="575501" cy="673806"/>
    <xdr:pic>
      <xdr:nvPicPr>
        <xdr:cNvPr id="623" name="Picture 622">
          <a:extLst>
            <a:ext uri="{FF2B5EF4-FFF2-40B4-BE49-F238E27FC236}">
              <a16:creationId xmlns:a16="http://schemas.microsoft.com/office/drawing/2014/main" id="{A50E960D-0676-4B9C-AFC2-131144862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096936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33</xdr:row>
      <xdr:rowOff>66385</xdr:rowOff>
    </xdr:from>
    <xdr:ext cx="545064" cy="658528"/>
    <xdr:pic>
      <xdr:nvPicPr>
        <xdr:cNvPr id="624" name="Picture 623">
          <a:extLst>
            <a:ext uri="{FF2B5EF4-FFF2-40B4-BE49-F238E27FC236}">
              <a16:creationId xmlns:a16="http://schemas.microsoft.com/office/drawing/2014/main" id="{332D0DC6-1923-4501-BA15-CFA1C7526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1859585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33</xdr:row>
      <xdr:rowOff>93406</xdr:rowOff>
    </xdr:from>
    <xdr:ext cx="540448" cy="633846"/>
    <xdr:pic>
      <xdr:nvPicPr>
        <xdr:cNvPr id="625" name="Picture 624">
          <a:extLst>
            <a:ext uri="{FF2B5EF4-FFF2-40B4-BE49-F238E27FC236}">
              <a16:creationId xmlns:a16="http://schemas.microsoft.com/office/drawing/2014/main" id="{E304B131-1B90-42A9-83FC-2AD79E56E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1886606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33</xdr:row>
      <xdr:rowOff>81035</xdr:rowOff>
    </xdr:from>
    <xdr:ext cx="575501" cy="673806"/>
    <xdr:pic>
      <xdr:nvPicPr>
        <xdr:cNvPr id="626" name="Picture 625">
          <a:extLst>
            <a:ext uri="{FF2B5EF4-FFF2-40B4-BE49-F238E27FC236}">
              <a16:creationId xmlns:a16="http://schemas.microsoft.com/office/drawing/2014/main" id="{54087376-DEB0-4217-9FF1-63304686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1874235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34</xdr:row>
      <xdr:rowOff>66385</xdr:rowOff>
    </xdr:from>
    <xdr:ext cx="545064" cy="658528"/>
    <xdr:pic>
      <xdr:nvPicPr>
        <xdr:cNvPr id="627" name="Picture 626">
          <a:extLst>
            <a:ext uri="{FF2B5EF4-FFF2-40B4-BE49-F238E27FC236}">
              <a16:creationId xmlns:a16="http://schemas.microsoft.com/office/drawing/2014/main" id="{1E8CD61E-D062-496F-AD4A-DABB23E84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2659685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34</xdr:row>
      <xdr:rowOff>93406</xdr:rowOff>
    </xdr:from>
    <xdr:ext cx="540448" cy="633846"/>
    <xdr:pic>
      <xdr:nvPicPr>
        <xdr:cNvPr id="628" name="Picture 627">
          <a:extLst>
            <a:ext uri="{FF2B5EF4-FFF2-40B4-BE49-F238E27FC236}">
              <a16:creationId xmlns:a16="http://schemas.microsoft.com/office/drawing/2014/main" id="{9F889E7B-2C34-4A62-8D22-AE594957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2686706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34</xdr:row>
      <xdr:rowOff>81035</xdr:rowOff>
    </xdr:from>
    <xdr:ext cx="575501" cy="673806"/>
    <xdr:pic>
      <xdr:nvPicPr>
        <xdr:cNvPr id="629" name="Picture 628">
          <a:extLst>
            <a:ext uri="{FF2B5EF4-FFF2-40B4-BE49-F238E27FC236}">
              <a16:creationId xmlns:a16="http://schemas.microsoft.com/office/drawing/2014/main" id="{994CD616-A193-4D12-AF4E-4087C40A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2674335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35</xdr:row>
      <xdr:rowOff>214825</xdr:rowOff>
    </xdr:from>
    <xdr:ext cx="545064" cy="658528"/>
    <xdr:pic>
      <xdr:nvPicPr>
        <xdr:cNvPr id="630" name="Picture 629">
          <a:extLst>
            <a:ext uri="{FF2B5EF4-FFF2-40B4-BE49-F238E27FC236}">
              <a16:creationId xmlns:a16="http://schemas.microsoft.com/office/drawing/2014/main" id="{A922A956-6BE1-407B-82FA-7DC7F49C6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361775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35</xdr:row>
      <xdr:rowOff>241846</xdr:rowOff>
    </xdr:from>
    <xdr:ext cx="540448" cy="633846"/>
    <xdr:pic>
      <xdr:nvPicPr>
        <xdr:cNvPr id="631" name="Picture 630">
          <a:extLst>
            <a:ext uri="{FF2B5EF4-FFF2-40B4-BE49-F238E27FC236}">
              <a16:creationId xmlns:a16="http://schemas.microsoft.com/office/drawing/2014/main" id="{575644F9-3888-42AD-B624-CC8D6222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364477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35</xdr:row>
      <xdr:rowOff>217105</xdr:rowOff>
    </xdr:from>
    <xdr:ext cx="575501" cy="673806"/>
    <xdr:pic>
      <xdr:nvPicPr>
        <xdr:cNvPr id="632" name="Picture 631">
          <a:extLst>
            <a:ext uri="{FF2B5EF4-FFF2-40B4-BE49-F238E27FC236}">
              <a16:creationId xmlns:a16="http://schemas.microsoft.com/office/drawing/2014/main" id="{A38E8313-EEC1-45AD-A11E-839B10D96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362003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36</xdr:row>
      <xdr:rowOff>66385</xdr:rowOff>
    </xdr:from>
    <xdr:ext cx="545064" cy="658528"/>
    <xdr:pic>
      <xdr:nvPicPr>
        <xdr:cNvPr id="633" name="Picture 632">
          <a:extLst>
            <a:ext uri="{FF2B5EF4-FFF2-40B4-BE49-F238E27FC236}">
              <a16:creationId xmlns:a16="http://schemas.microsoft.com/office/drawing/2014/main" id="{1E5B5DB0-9C14-43CF-9D8E-0AD3A288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49552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36</xdr:row>
      <xdr:rowOff>93406</xdr:rowOff>
    </xdr:from>
    <xdr:ext cx="540448" cy="633846"/>
    <xdr:pic>
      <xdr:nvPicPr>
        <xdr:cNvPr id="634" name="Picture 633">
          <a:extLst>
            <a:ext uri="{FF2B5EF4-FFF2-40B4-BE49-F238E27FC236}">
              <a16:creationId xmlns:a16="http://schemas.microsoft.com/office/drawing/2014/main" id="{6321D0F7-8884-4E4F-AA8F-229A1E0B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49822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36</xdr:row>
      <xdr:rowOff>81035</xdr:rowOff>
    </xdr:from>
    <xdr:ext cx="575501" cy="673806"/>
    <xdr:pic>
      <xdr:nvPicPr>
        <xdr:cNvPr id="635" name="Picture 634">
          <a:extLst>
            <a:ext uri="{FF2B5EF4-FFF2-40B4-BE49-F238E27FC236}">
              <a16:creationId xmlns:a16="http://schemas.microsoft.com/office/drawing/2014/main" id="{98F29C5A-C196-41E0-B880-0C4011FFB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496986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37</xdr:row>
      <xdr:rowOff>66385</xdr:rowOff>
    </xdr:from>
    <xdr:ext cx="545064" cy="658528"/>
    <xdr:pic>
      <xdr:nvPicPr>
        <xdr:cNvPr id="636" name="Picture 635">
          <a:extLst>
            <a:ext uri="{FF2B5EF4-FFF2-40B4-BE49-F238E27FC236}">
              <a16:creationId xmlns:a16="http://schemas.microsoft.com/office/drawing/2014/main" id="{120DEEBC-C49A-4019-8AA8-270F1016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577436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37</xdr:row>
      <xdr:rowOff>93406</xdr:rowOff>
    </xdr:from>
    <xdr:ext cx="540448" cy="633846"/>
    <xdr:pic>
      <xdr:nvPicPr>
        <xdr:cNvPr id="637" name="Picture 636">
          <a:extLst>
            <a:ext uri="{FF2B5EF4-FFF2-40B4-BE49-F238E27FC236}">
              <a16:creationId xmlns:a16="http://schemas.microsoft.com/office/drawing/2014/main" id="{641ECE1A-C317-4337-87AB-93361FA1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580138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37</xdr:row>
      <xdr:rowOff>81035</xdr:rowOff>
    </xdr:from>
    <xdr:ext cx="575501" cy="673806"/>
    <xdr:pic>
      <xdr:nvPicPr>
        <xdr:cNvPr id="638" name="Picture 637">
          <a:extLst>
            <a:ext uri="{FF2B5EF4-FFF2-40B4-BE49-F238E27FC236}">
              <a16:creationId xmlns:a16="http://schemas.microsoft.com/office/drawing/2014/main" id="{48DEDB9B-3867-443D-B63B-E4A819C7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578901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38</xdr:row>
      <xdr:rowOff>66385</xdr:rowOff>
    </xdr:from>
    <xdr:ext cx="545064" cy="658528"/>
    <xdr:pic>
      <xdr:nvPicPr>
        <xdr:cNvPr id="639" name="Picture 638">
          <a:extLst>
            <a:ext uri="{FF2B5EF4-FFF2-40B4-BE49-F238E27FC236}">
              <a16:creationId xmlns:a16="http://schemas.microsoft.com/office/drawing/2014/main" id="{595ABD50-B353-42EE-90B1-0F73C61C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6545885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38</xdr:row>
      <xdr:rowOff>93406</xdr:rowOff>
    </xdr:from>
    <xdr:ext cx="540448" cy="633846"/>
    <xdr:pic>
      <xdr:nvPicPr>
        <xdr:cNvPr id="640" name="Picture 639">
          <a:extLst>
            <a:ext uri="{FF2B5EF4-FFF2-40B4-BE49-F238E27FC236}">
              <a16:creationId xmlns:a16="http://schemas.microsoft.com/office/drawing/2014/main" id="{218B6F65-F3DA-4E82-A547-8A224E235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6572906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38</xdr:row>
      <xdr:rowOff>81035</xdr:rowOff>
    </xdr:from>
    <xdr:ext cx="575501" cy="673806"/>
    <xdr:pic>
      <xdr:nvPicPr>
        <xdr:cNvPr id="641" name="Picture 640">
          <a:extLst>
            <a:ext uri="{FF2B5EF4-FFF2-40B4-BE49-F238E27FC236}">
              <a16:creationId xmlns:a16="http://schemas.microsoft.com/office/drawing/2014/main" id="{A2333CAC-2483-4D82-8475-F436D7FD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6560535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39</xdr:row>
      <xdr:rowOff>66385</xdr:rowOff>
    </xdr:from>
    <xdr:ext cx="545064" cy="658528"/>
    <xdr:pic>
      <xdr:nvPicPr>
        <xdr:cNvPr id="642" name="Picture 641">
          <a:extLst>
            <a:ext uri="{FF2B5EF4-FFF2-40B4-BE49-F238E27FC236}">
              <a16:creationId xmlns:a16="http://schemas.microsoft.com/office/drawing/2014/main" id="{83DCFE1F-97F8-430E-9544-7020B10E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731741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39</xdr:row>
      <xdr:rowOff>93406</xdr:rowOff>
    </xdr:from>
    <xdr:ext cx="540448" cy="633846"/>
    <xdr:pic>
      <xdr:nvPicPr>
        <xdr:cNvPr id="643" name="Picture 642">
          <a:extLst>
            <a:ext uri="{FF2B5EF4-FFF2-40B4-BE49-F238E27FC236}">
              <a16:creationId xmlns:a16="http://schemas.microsoft.com/office/drawing/2014/main" id="{5826E851-5F30-413E-A233-9E7C7BEC2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734443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39</xdr:row>
      <xdr:rowOff>81035</xdr:rowOff>
    </xdr:from>
    <xdr:ext cx="575501" cy="673806"/>
    <xdr:pic>
      <xdr:nvPicPr>
        <xdr:cNvPr id="644" name="Picture 643">
          <a:extLst>
            <a:ext uri="{FF2B5EF4-FFF2-40B4-BE49-F238E27FC236}">
              <a16:creationId xmlns:a16="http://schemas.microsoft.com/office/drawing/2014/main" id="{32386FE3-B0E9-40E4-98FD-EC850D34F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7332060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40</xdr:row>
      <xdr:rowOff>66385</xdr:rowOff>
    </xdr:from>
    <xdr:ext cx="545064" cy="658528"/>
    <xdr:pic>
      <xdr:nvPicPr>
        <xdr:cNvPr id="645" name="Picture 644">
          <a:extLst>
            <a:ext uri="{FF2B5EF4-FFF2-40B4-BE49-F238E27FC236}">
              <a16:creationId xmlns:a16="http://schemas.microsoft.com/office/drawing/2014/main" id="{C17F4E15-20E9-491A-B037-26EE9D1FE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8165135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40</xdr:row>
      <xdr:rowOff>93406</xdr:rowOff>
    </xdr:from>
    <xdr:ext cx="540448" cy="633846"/>
    <xdr:pic>
      <xdr:nvPicPr>
        <xdr:cNvPr id="646" name="Picture 645">
          <a:extLst>
            <a:ext uri="{FF2B5EF4-FFF2-40B4-BE49-F238E27FC236}">
              <a16:creationId xmlns:a16="http://schemas.microsoft.com/office/drawing/2014/main" id="{E11A273E-6454-4A57-95A9-FEB1F955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8192156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40</xdr:row>
      <xdr:rowOff>81035</xdr:rowOff>
    </xdr:from>
    <xdr:ext cx="575501" cy="673806"/>
    <xdr:pic>
      <xdr:nvPicPr>
        <xdr:cNvPr id="647" name="Picture 646">
          <a:extLst>
            <a:ext uri="{FF2B5EF4-FFF2-40B4-BE49-F238E27FC236}">
              <a16:creationId xmlns:a16="http://schemas.microsoft.com/office/drawing/2014/main" id="{136C8746-8F6E-483F-83F8-5B6D3E19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8179785"/>
          <a:ext cx="575501" cy="673806"/>
        </a:xfrm>
        <a:prstGeom prst="rect">
          <a:avLst/>
        </a:prstGeom>
      </xdr:spPr>
    </xdr:pic>
    <xdr:clientData/>
  </xdr:oneCellAnchor>
  <xdr:oneCellAnchor>
    <xdr:from>
      <xdr:col>4</xdr:col>
      <xdr:colOff>1341676</xdr:colOff>
      <xdr:row>41</xdr:row>
      <xdr:rowOff>66385</xdr:rowOff>
    </xdr:from>
    <xdr:ext cx="545064" cy="658528"/>
    <xdr:pic>
      <xdr:nvPicPr>
        <xdr:cNvPr id="648" name="Picture 647">
          <a:extLst>
            <a:ext uri="{FF2B5EF4-FFF2-40B4-BE49-F238E27FC236}">
              <a16:creationId xmlns:a16="http://schemas.microsoft.com/office/drawing/2014/main" id="{D50F76BB-A227-436B-A4E1-4E1E43DB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01" y="28936660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110436</xdr:colOff>
      <xdr:row>41</xdr:row>
      <xdr:rowOff>93406</xdr:rowOff>
    </xdr:from>
    <xdr:ext cx="540448" cy="633846"/>
    <xdr:pic>
      <xdr:nvPicPr>
        <xdr:cNvPr id="649" name="Picture 648">
          <a:extLst>
            <a:ext uri="{FF2B5EF4-FFF2-40B4-BE49-F238E27FC236}">
              <a16:creationId xmlns:a16="http://schemas.microsoft.com/office/drawing/2014/main" id="{6EA4FC75-C5ED-4C55-AB41-8872F8CC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961" y="28963681"/>
          <a:ext cx="540448" cy="633846"/>
        </a:xfrm>
        <a:prstGeom prst="rect">
          <a:avLst/>
        </a:prstGeom>
      </xdr:spPr>
    </xdr:pic>
    <xdr:clientData/>
  </xdr:oneCellAnchor>
  <xdr:oneCellAnchor>
    <xdr:from>
      <xdr:col>4</xdr:col>
      <xdr:colOff>704022</xdr:colOff>
      <xdr:row>41</xdr:row>
      <xdr:rowOff>81035</xdr:rowOff>
    </xdr:from>
    <xdr:ext cx="575501" cy="673806"/>
    <xdr:pic>
      <xdr:nvPicPr>
        <xdr:cNvPr id="650" name="Picture 649">
          <a:extLst>
            <a:ext uri="{FF2B5EF4-FFF2-40B4-BE49-F238E27FC236}">
              <a16:creationId xmlns:a16="http://schemas.microsoft.com/office/drawing/2014/main" id="{2507A429-4440-4645-B309-CB47D596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547" y="28951310"/>
          <a:ext cx="575501" cy="673806"/>
        </a:xfrm>
        <a:prstGeom prst="rect">
          <a:avLst/>
        </a:prstGeom>
      </xdr:spPr>
    </xdr:pic>
    <xdr:clientData/>
  </xdr:oneCellAnchor>
  <xdr:twoCellAnchor editAs="oneCell">
    <xdr:from>
      <xdr:col>4</xdr:col>
      <xdr:colOff>85066</xdr:colOff>
      <xdr:row>47</xdr:row>
      <xdr:rowOff>314457</xdr:rowOff>
    </xdr:from>
    <xdr:to>
      <xdr:col>4</xdr:col>
      <xdr:colOff>640168</xdr:colOff>
      <xdr:row>47</xdr:row>
      <xdr:rowOff>927905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10203C6C-415A-4537-B0F1-5F77D7985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91" y="32232732"/>
          <a:ext cx="555102" cy="613448"/>
        </a:xfrm>
        <a:prstGeom prst="rect">
          <a:avLst/>
        </a:prstGeom>
      </xdr:spPr>
    </xdr:pic>
    <xdr:clientData/>
  </xdr:twoCellAnchor>
  <xdr:twoCellAnchor editAs="oneCell">
    <xdr:from>
      <xdr:col>4</xdr:col>
      <xdr:colOff>680660</xdr:colOff>
      <xdr:row>47</xdr:row>
      <xdr:rowOff>309006</xdr:rowOff>
    </xdr:from>
    <xdr:to>
      <xdr:col>4</xdr:col>
      <xdr:colOff>1240781</xdr:colOff>
      <xdr:row>47</xdr:row>
      <xdr:rowOff>956828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94630BE5-9FAD-4CCF-8446-EFA4C6E2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185" y="32227281"/>
          <a:ext cx="560121" cy="647822"/>
        </a:xfrm>
        <a:prstGeom prst="rect">
          <a:avLst/>
        </a:prstGeom>
      </xdr:spPr>
    </xdr:pic>
    <xdr:clientData/>
  </xdr:twoCellAnchor>
  <xdr:oneCellAnchor>
    <xdr:from>
      <xdr:col>4</xdr:col>
      <xdr:colOff>85066</xdr:colOff>
      <xdr:row>48</xdr:row>
      <xdr:rowOff>314457</xdr:rowOff>
    </xdr:from>
    <xdr:ext cx="555102" cy="613448"/>
    <xdr:pic>
      <xdr:nvPicPr>
        <xdr:cNvPr id="703" name="Picture 702">
          <a:extLst>
            <a:ext uri="{FF2B5EF4-FFF2-40B4-BE49-F238E27FC236}">
              <a16:creationId xmlns:a16="http://schemas.microsoft.com/office/drawing/2014/main" id="{1B33BBD4-69BF-4D41-BF76-A0C518836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91" y="33509082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680660</xdr:colOff>
      <xdr:row>48</xdr:row>
      <xdr:rowOff>309006</xdr:rowOff>
    </xdr:from>
    <xdr:ext cx="560121" cy="647822"/>
    <xdr:pic>
      <xdr:nvPicPr>
        <xdr:cNvPr id="704" name="Picture 703">
          <a:extLst>
            <a:ext uri="{FF2B5EF4-FFF2-40B4-BE49-F238E27FC236}">
              <a16:creationId xmlns:a16="http://schemas.microsoft.com/office/drawing/2014/main" id="{BEDA5B52-4E7F-4FFE-9F46-0B5C11D2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185" y="33503631"/>
          <a:ext cx="560121" cy="647822"/>
        </a:xfrm>
        <a:prstGeom prst="rect">
          <a:avLst/>
        </a:prstGeom>
      </xdr:spPr>
    </xdr:pic>
    <xdr:clientData/>
  </xdr:oneCellAnchor>
  <xdr:oneCellAnchor>
    <xdr:from>
      <xdr:col>4</xdr:col>
      <xdr:colOff>85066</xdr:colOff>
      <xdr:row>49</xdr:row>
      <xdr:rowOff>314457</xdr:rowOff>
    </xdr:from>
    <xdr:ext cx="555102" cy="613448"/>
    <xdr:pic>
      <xdr:nvPicPr>
        <xdr:cNvPr id="705" name="Picture 704">
          <a:extLst>
            <a:ext uri="{FF2B5EF4-FFF2-40B4-BE49-F238E27FC236}">
              <a16:creationId xmlns:a16="http://schemas.microsoft.com/office/drawing/2014/main" id="{F338C63B-8F05-444C-B6FD-B85048861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591" y="34785432"/>
          <a:ext cx="555102" cy="613448"/>
        </a:xfrm>
        <a:prstGeom prst="rect">
          <a:avLst/>
        </a:prstGeom>
      </xdr:spPr>
    </xdr:pic>
    <xdr:clientData/>
  </xdr:oneCellAnchor>
  <xdr:oneCellAnchor>
    <xdr:from>
      <xdr:col>4</xdr:col>
      <xdr:colOff>680660</xdr:colOff>
      <xdr:row>49</xdr:row>
      <xdr:rowOff>309006</xdr:rowOff>
    </xdr:from>
    <xdr:ext cx="560121" cy="647822"/>
    <xdr:pic>
      <xdr:nvPicPr>
        <xdr:cNvPr id="706" name="Picture 705">
          <a:extLst>
            <a:ext uri="{FF2B5EF4-FFF2-40B4-BE49-F238E27FC236}">
              <a16:creationId xmlns:a16="http://schemas.microsoft.com/office/drawing/2014/main" id="{C288433D-2F97-475B-B6A3-190CD360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185" y="34779981"/>
          <a:ext cx="560121" cy="647822"/>
        </a:xfrm>
        <a:prstGeom prst="rect">
          <a:avLst/>
        </a:prstGeom>
      </xdr:spPr>
    </xdr:pic>
    <xdr:clientData/>
  </xdr:oneCellAnchor>
  <xdr:twoCellAnchor editAs="oneCell">
    <xdr:from>
      <xdr:col>4</xdr:col>
      <xdr:colOff>109261</xdr:colOff>
      <xdr:row>50</xdr:row>
      <xdr:rowOff>68889</xdr:rowOff>
    </xdr:from>
    <xdr:to>
      <xdr:col>4</xdr:col>
      <xdr:colOff>664363</xdr:colOff>
      <xdr:row>50</xdr:row>
      <xdr:rowOff>733920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916140AB-F020-4D4E-ADAD-D855EA9D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35816214"/>
          <a:ext cx="555102" cy="665031"/>
        </a:xfrm>
        <a:prstGeom prst="rect">
          <a:avLst/>
        </a:prstGeom>
      </xdr:spPr>
    </xdr:pic>
    <xdr:clientData/>
  </xdr:twoCellAnchor>
  <xdr:twoCellAnchor editAs="oneCell">
    <xdr:from>
      <xdr:col>4</xdr:col>
      <xdr:colOff>121631</xdr:colOff>
      <xdr:row>51</xdr:row>
      <xdr:rowOff>130739</xdr:rowOff>
    </xdr:from>
    <xdr:to>
      <xdr:col>4</xdr:col>
      <xdr:colOff>676733</xdr:colOff>
      <xdr:row>51</xdr:row>
      <xdr:rowOff>791812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F6A2BEB8-5E72-45D1-8A5F-05F2E658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156" y="36678164"/>
          <a:ext cx="555102" cy="661073"/>
        </a:xfrm>
        <a:prstGeom prst="rect">
          <a:avLst/>
        </a:prstGeom>
      </xdr:spPr>
    </xdr:pic>
    <xdr:clientData/>
  </xdr:twoCellAnchor>
  <xdr:oneCellAnchor>
    <xdr:from>
      <xdr:col>4</xdr:col>
      <xdr:colOff>109261</xdr:colOff>
      <xdr:row>52</xdr:row>
      <xdr:rowOff>68889</xdr:rowOff>
    </xdr:from>
    <xdr:ext cx="555102" cy="665031"/>
    <xdr:pic>
      <xdr:nvPicPr>
        <xdr:cNvPr id="709" name="Picture 708">
          <a:extLst>
            <a:ext uri="{FF2B5EF4-FFF2-40B4-BE49-F238E27FC236}">
              <a16:creationId xmlns:a16="http://schemas.microsoft.com/office/drawing/2014/main" id="{A3E23529-AD65-4528-9A1A-58995545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375402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53</xdr:row>
      <xdr:rowOff>68889</xdr:rowOff>
    </xdr:from>
    <xdr:ext cx="555102" cy="665031"/>
    <xdr:pic>
      <xdr:nvPicPr>
        <xdr:cNvPr id="710" name="Picture 709">
          <a:extLst>
            <a:ext uri="{FF2B5EF4-FFF2-40B4-BE49-F238E27FC236}">
              <a16:creationId xmlns:a16="http://schemas.microsoft.com/office/drawing/2014/main" id="{02D49AD3-82D2-4441-BF11-CCBC592E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3836891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54</xdr:row>
      <xdr:rowOff>68889</xdr:rowOff>
    </xdr:from>
    <xdr:ext cx="555102" cy="665031"/>
    <xdr:pic>
      <xdr:nvPicPr>
        <xdr:cNvPr id="711" name="Picture 710">
          <a:extLst>
            <a:ext uri="{FF2B5EF4-FFF2-40B4-BE49-F238E27FC236}">
              <a16:creationId xmlns:a16="http://schemas.microsoft.com/office/drawing/2014/main" id="{C10948A1-D793-416E-976E-E0639678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3916901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55</xdr:row>
      <xdr:rowOff>68889</xdr:rowOff>
    </xdr:from>
    <xdr:ext cx="555102" cy="665031"/>
    <xdr:pic>
      <xdr:nvPicPr>
        <xdr:cNvPr id="712" name="Picture 711">
          <a:extLst>
            <a:ext uri="{FF2B5EF4-FFF2-40B4-BE49-F238E27FC236}">
              <a16:creationId xmlns:a16="http://schemas.microsoft.com/office/drawing/2014/main" id="{371766EF-45DC-415E-9637-24D578299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3996911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56</xdr:row>
      <xdr:rowOff>68889</xdr:rowOff>
    </xdr:from>
    <xdr:ext cx="555102" cy="665031"/>
    <xdr:pic>
      <xdr:nvPicPr>
        <xdr:cNvPr id="713" name="Picture 712">
          <a:extLst>
            <a:ext uri="{FF2B5EF4-FFF2-40B4-BE49-F238E27FC236}">
              <a16:creationId xmlns:a16="http://schemas.microsoft.com/office/drawing/2014/main" id="{B39D596D-1C45-4FD7-A9D3-60A6DD21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076921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58</xdr:row>
      <xdr:rowOff>68889</xdr:rowOff>
    </xdr:from>
    <xdr:ext cx="555102" cy="665031"/>
    <xdr:pic>
      <xdr:nvPicPr>
        <xdr:cNvPr id="714" name="Picture 713">
          <a:extLst>
            <a:ext uri="{FF2B5EF4-FFF2-40B4-BE49-F238E27FC236}">
              <a16:creationId xmlns:a16="http://schemas.microsoft.com/office/drawing/2014/main" id="{A9EAB1DA-1181-4BA7-9CD9-694432CE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18074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59</xdr:row>
      <xdr:rowOff>68889</xdr:rowOff>
    </xdr:from>
    <xdr:ext cx="555102" cy="665031"/>
    <xdr:pic>
      <xdr:nvPicPr>
        <xdr:cNvPr id="715" name="Picture 714">
          <a:extLst>
            <a:ext uri="{FF2B5EF4-FFF2-40B4-BE49-F238E27FC236}">
              <a16:creationId xmlns:a16="http://schemas.microsoft.com/office/drawing/2014/main" id="{35969E10-9A43-41C6-8C55-908F9A29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281708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60</xdr:row>
      <xdr:rowOff>254439</xdr:rowOff>
    </xdr:from>
    <xdr:ext cx="555102" cy="665031"/>
    <xdr:pic>
      <xdr:nvPicPr>
        <xdr:cNvPr id="716" name="Picture 715">
          <a:extLst>
            <a:ext uri="{FF2B5EF4-FFF2-40B4-BE49-F238E27FC236}">
              <a16:creationId xmlns:a16="http://schemas.microsoft.com/office/drawing/2014/main" id="{72874405-9497-4078-A574-D7B0965D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382178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61</xdr:row>
      <xdr:rowOff>204959</xdr:rowOff>
    </xdr:from>
    <xdr:ext cx="555102" cy="665031"/>
    <xdr:pic>
      <xdr:nvPicPr>
        <xdr:cNvPr id="717" name="Picture 716">
          <a:extLst>
            <a:ext uri="{FF2B5EF4-FFF2-40B4-BE49-F238E27FC236}">
              <a16:creationId xmlns:a16="http://schemas.microsoft.com/office/drawing/2014/main" id="{F33A6823-E688-41A0-90F8-93A85A07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484863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62</xdr:row>
      <xdr:rowOff>229699</xdr:rowOff>
    </xdr:from>
    <xdr:ext cx="555102" cy="665031"/>
    <xdr:pic>
      <xdr:nvPicPr>
        <xdr:cNvPr id="718" name="Picture 717">
          <a:extLst>
            <a:ext uri="{FF2B5EF4-FFF2-40B4-BE49-F238E27FC236}">
              <a16:creationId xmlns:a16="http://schemas.microsoft.com/office/drawing/2014/main" id="{E835E0C4-A5A1-46FC-AEDC-A8B1EF0F1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607352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63</xdr:row>
      <xdr:rowOff>68889</xdr:rowOff>
    </xdr:from>
    <xdr:ext cx="555102" cy="665031"/>
    <xdr:pic>
      <xdr:nvPicPr>
        <xdr:cNvPr id="719" name="Picture 718">
          <a:extLst>
            <a:ext uri="{FF2B5EF4-FFF2-40B4-BE49-F238E27FC236}">
              <a16:creationId xmlns:a16="http://schemas.microsoft.com/office/drawing/2014/main" id="{E703C9D1-D91E-46CA-87F0-E52E06B10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711286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64</xdr:row>
      <xdr:rowOff>68889</xdr:rowOff>
    </xdr:from>
    <xdr:ext cx="555102" cy="665031"/>
    <xdr:pic>
      <xdr:nvPicPr>
        <xdr:cNvPr id="720" name="Picture 719">
          <a:extLst>
            <a:ext uri="{FF2B5EF4-FFF2-40B4-BE49-F238E27FC236}">
              <a16:creationId xmlns:a16="http://schemas.microsoft.com/office/drawing/2014/main" id="{56670DAC-B46D-4C58-A54D-8DC09CFF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791296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65</xdr:row>
      <xdr:rowOff>68889</xdr:rowOff>
    </xdr:from>
    <xdr:ext cx="555102" cy="665031"/>
    <xdr:pic>
      <xdr:nvPicPr>
        <xdr:cNvPr id="721" name="Picture 720">
          <a:extLst>
            <a:ext uri="{FF2B5EF4-FFF2-40B4-BE49-F238E27FC236}">
              <a16:creationId xmlns:a16="http://schemas.microsoft.com/office/drawing/2014/main" id="{55B26C96-AB46-4C74-9928-4163ED0B8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48713064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108857</xdr:colOff>
      <xdr:row>66</xdr:row>
      <xdr:rowOff>122464</xdr:rowOff>
    </xdr:from>
    <xdr:ext cx="555102" cy="665031"/>
    <xdr:pic>
      <xdr:nvPicPr>
        <xdr:cNvPr id="722" name="Picture 721">
          <a:extLst>
            <a:ext uri="{FF2B5EF4-FFF2-40B4-BE49-F238E27FC236}">
              <a16:creationId xmlns:a16="http://schemas.microsoft.com/office/drawing/2014/main" id="{6737B3F5-38D6-4364-B10F-76DCBB5C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382" y="495667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69</xdr:row>
      <xdr:rowOff>68889</xdr:rowOff>
    </xdr:from>
    <xdr:ext cx="555102" cy="665031"/>
    <xdr:pic>
      <xdr:nvPicPr>
        <xdr:cNvPr id="726" name="Picture 725">
          <a:extLst>
            <a:ext uri="{FF2B5EF4-FFF2-40B4-BE49-F238E27FC236}">
              <a16:creationId xmlns:a16="http://schemas.microsoft.com/office/drawing/2014/main" id="{158C7E92-EBE6-47ED-9C5E-8528DAA7D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527802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68</xdr:row>
      <xdr:rowOff>68889</xdr:rowOff>
    </xdr:from>
    <xdr:ext cx="555102" cy="665031"/>
    <xdr:pic>
      <xdr:nvPicPr>
        <xdr:cNvPr id="727" name="Picture 726">
          <a:extLst>
            <a:ext uri="{FF2B5EF4-FFF2-40B4-BE49-F238E27FC236}">
              <a16:creationId xmlns:a16="http://schemas.microsoft.com/office/drawing/2014/main" id="{35DC1D98-A33F-4A4F-8587-524D17A73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519801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67</xdr:row>
      <xdr:rowOff>68889</xdr:rowOff>
    </xdr:from>
    <xdr:ext cx="555102" cy="665031"/>
    <xdr:pic>
      <xdr:nvPicPr>
        <xdr:cNvPr id="728" name="Picture 727">
          <a:extLst>
            <a:ext uri="{FF2B5EF4-FFF2-40B4-BE49-F238E27FC236}">
              <a16:creationId xmlns:a16="http://schemas.microsoft.com/office/drawing/2014/main" id="{FA11685D-CFD8-4959-A421-E3B63A70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51180039"/>
          <a:ext cx="555102" cy="665031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70</xdr:row>
      <xdr:rowOff>150953</xdr:rowOff>
    </xdr:from>
    <xdr:ext cx="551827" cy="669012"/>
    <xdr:pic>
      <xdr:nvPicPr>
        <xdr:cNvPr id="751" name="Picture 750">
          <a:extLst>
            <a:ext uri="{FF2B5EF4-FFF2-40B4-BE49-F238E27FC236}">
              <a16:creationId xmlns:a16="http://schemas.microsoft.com/office/drawing/2014/main" id="{300066D3-05FD-40D1-8D5C-050697B67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9806028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71</xdr:row>
      <xdr:rowOff>64363</xdr:rowOff>
    </xdr:from>
    <xdr:ext cx="551827" cy="669012"/>
    <xdr:pic>
      <xdr:nvPicPr>
        <xdr:cNvPr id="752" name="Picture 751">
          <a:extLst>
            <a:ext uri="{FF2B5EF4-FFF2-40B4-BE49-F238E27FC236}">
              <a16:creationId xmlns:a16="http://schemas.microsoft.com/office/drawing/2014/main" id="{08D7842B-0180-4282-BD99-ADE807C9F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60786238"/>
          <a:ext cx="551827" cy="669012"/>
        </a:xfrm>
        <a:prstGeom prst="rect">
          <a:avLst/>
        </a:prstGeom>
      </xdr:spPr>
    </xdr:pic>
    <xdr:clientData/>
  </xdr:oneCellAnchor>
  <xdr:twoCellAnchor editAs="oneCell">
    <xdr:from>
      <xdr:col>4</xdr:col>
      <xdr:colOff>48844</xdr:colOff>
      <xdr:row>72</xdr:row>
      <xdr:rowOff>73921</xdr:rowOff>
    </xdr:from>
    <xdr:to>
      <xdr:col>4</xdr:col>
      <xdr:colOff>603946</xdr:colOff>
      <xdr:row>72</xdr:row>
      <xdr:rowOff>734994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id="{CA60DC7F-1F61-465E-A0B4-50D5B29CE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369" y="61719721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648805</xdr:colOff>
      <xdr:row>72</xdr:row>
      <xdr:rowOff>55217</xdr:rowOff>
    </xdr:from>
    <xdr:to>
      <xdr:col>4</xdr:col>
      <xdr:colOff>1205650</xdr:colOff>
      <xdr:row>72</xdr:row>
      <xdr:rowOff>713078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01EBC7AF-15CD-4A4E-8015-7BBE871E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30" y="61701017"/>
          <a:ext cx="556845" cy="657861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1270001</xdr:colOff>
      <xdr:row>72</xdr:row>
      <xdr:rowOff>55218</xdr:rowOff>
    </xdr:from>
    <xdr:to>
      <xdr:col>4</xdr:col>
      <xdr:colOff>1827431</xdr:colOff>
      <xdr:row>72</xdr:row>
      <xdr:rowOff>728609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561DE355-F567-41C8-8700-F58E5C18D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6" y="61701018"/>
          <a:ext cx="557430" cy="673391"/>
        </a:xfrm>
        <a:prstGeom prst="rect">
          <a:avLst/>
        </a:prstGeom>
      </xdr:spPr>
    </xdr:pic>
    <xdr:clientData/>
  </xdr:twoCellAnchor>
  <xdr:oneCellAnchor>
    <xdr:from>
      <xdr:col>4</xdr:col>
      <xdr:colOff>48844</xdr:colOff>
      <xdr:row>73</xdr:row>
      <xdr:rowOff>73921</xdr:rowOff>
    </xdr:from>
    <xdr:ext cx="555102" cy="661073"/>
    <xdr:pic>
      <xdr:nvPicPr>
        <xdr:cNvPr id="756" name="Picture 755">
          <a:extLst>
            <a:ext uri="{FF2B5EF4-FFF2-40B4-BE49-F238E27FC236}">
              <a16:creationId xmlns:a16="http://schemas.microsoft.com/office/drawing/2014/main" id="{82BC0903-37CA-4763-B608-A5333946C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369" y="62719846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648805</xdr:colOff>
      <xdr:row>73</xdr:row>
      <xdr:rowOff>55217</xdr:rowOff>
    </xdr:from>
    <xdr:ext cx="556845" cy="657861"/>
    <xdr:pic>
      <xdr:nvPicPr>
        <xdr:cNvPr id="757" name="Picture 756">
          <a:extLst>
            <a:ext uri="{FF2B5EF4-FFF2-40B4-BE49-F238E27FC236}">
              <a16:creationId xmlns:a16="http://schemas.microsoft.com/office/drawing/2014/main" id="{5360B89A-D89C-4FAD-8B58-0B0EFAF0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30" y="62701142"/>
          <a:ext cx="556845" cy="657861"/>
        </a:xfrm>
        <a:prstGeom prst="rect">
          <a:avLst/>
        </a:prstGeom>
      </xdr:spPr>
    </xdr:pic>
    <xdr:clientData/>
  </xdr:oneCellAnchor>
  <xdr:oneCellAnchor>
    <xdr:from>
      <xdr:col>4</xdr:col>
      <xdr:colOff>1270001</xdr:colOff>
      <xdr:row>73</xdr:row>
      <xdr:rowOff>55218</xdr:rowOff>
    </xdr:from>
    <xdr:ext cx="557430" cy="673391"/>
    <xdr:pic>
      <xdr:nvPicPr>
        <xdr:cNvPr id="758" name="Picture 757">
          <a:extLst>
            <a:ext uri="{FF2B5EF4-FFF2-40B4-BE49-F238E27FC236}">
              <a16:creationId xmlns:a16="http://schemas.microsoft.com/office/drawing/2014/main" id="{C40D7F7E-A3AE-4E3E-8F40-6188E495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6" y="62701143"/>
          <a:ext cx="557430" cy="673391"/>
        </a:xfrm>
        <a:prstGeom prst="rect">
          <a:avLst/>
        </a:prstGeom>
      </xdr:spPr>
    </xdr:pic>
    <xdr:clientData/>
  </xdr:oneCellAnchor>
  <xdr:oneCellAnchor>
    <xdr:from>
      <xdr:col>4</xdr:col>
      <xdr:colOff>48844</xdr:colOff>
      <xdr:row>74</xdr:row>
      <xdr:rowOff>185251</xdr:rowOff>
    </xdr:from>
    <xdr:ext cx="555102" cy="661073"/>
    <xdr:pic>
      <xdr:nvPicPr>
        <xdr:cNvPr id="759" name="Picture 758">
          <a:extLst>
            <a:ext uri="{FF2B5EF4-FFF2-40B4-BE49-F238E27FC236}">
              <a16:creationId xmlns:a16="http://schemas.microsoft.com/office/drawing/2014/main" id="{75E29ECD-9F37-4099-AE43-F40AA2386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369" y="63831301"/>
          <a:ext cx="555102" cy="661073"/>
        </a:xfrm>
        <a:prstGeom prst="rect">
          <a:avLst/>
        </a:prstGeom>
      </xdr:spPr>
    </xdr:pic>
    <xdr:clientData/>
  </xdr:oneCellAnchor>
  <xdr:oneCellAnchor>
    <xdr:from>
      <xdr:col>4</xdr:col>
      <xdr:colOff>648805</xdr:colOff>
      <xdr:row>74</xdr:row>
      <xdr:rowOff>166547</xdr:rowOff>
    </xdr:from>
    <xdr:ext cx="556845" cy="657861"/>
    <xdr:pic>
      <xdr:nvPicPr>
        <xdr:cNvPr id="760" name="Picture 759">
          <a:extLst>
            <a:ext uri="{FF2B5EF4-FFF2-40B4-BE49-F238E27FC236}">
              <a16:creationId xmlns:a16="http://schemas.microsoft.com/office/drawing/2014/main" id="{0E238003-D035-4DA0-B6B0-28AB0C504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30" y="63812597"/>
          <a:ext cx="556845" cy="657861"/>
        </a:xfrm>
        <a:prstGeom prst="rect">
          <a:avLst/>
        </a:prstGeom>
      </xdr:spPr>
    </xdr:pic>
    <xdr:clientData/>
  </xdr:oneCellAnchor>
  <xdr:oneCellAnchor>
    <xdr:from>
      <xdr:col>4</xdr:col>
      <xdr:colOff>1270001</xdr:colOff>
      <xdr:row>74</xdr:row>
      <xdr:rowOff>178918</xdr:rowOff>
    </xdr:from>
    <xdr:ext cx="557430" cy="673391"/>
    <xdr:pic>
      <xdr:nvPicPr>
        <xdr:cNvPr id="761" name="Picture 760">
          <a:extLst>
            <a:ext uri="{FF2B5EF4-FFF2-40B4-BE49-F238E27FC236}">
              <a16:creationId xmlns:a16="http://schemas.microsoft.com/office/drawing/2014/main" id="{5FA217BD-93B3-49BB-A6F5-F7E35713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6" y="63824968"/>
          <a:ext cx="557430" cy="673391"/>
        </a:xfrm>
        <a:prstGeom prst="rect">
          <a:avLst/>
        </a:prstGeom>
      </xdr:spPr>
    </xdr:pic>
    <xdr:clientData/>
  </xdr:oneCellAnchor>
  <xdr:twoCellAnchor editAs="oneCell">
    <xdr:from>
      <xdr:col>4</xdr:col>
      <xdr:colOff>98960</xdr:colOff>
      <xdr:row>75</xdr:row>
      <xdr:rowOff>222660</xdr:rowOff>
    </xdr:from>
    <xdr:to>
      <xdr:col>4</xdr:col>
      <xdr:colOff>660824</xdr:colOff>
      <xdr:row>75</xdr:row>
      <xdr:rowOff>877329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id="{26F55E48-A774-4D0E-AEDB-050630B9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485" y="64983135"/>
          <a:ext cx="561864" cy="654669"/>
        </a:xfrm>
        <a:prstGeom prst="rect">
          <a:avLst/>
        </a:prstGeom>
      </xdr:spPr>
    </xdr:pic>
    <xdr:clientData/>
  </xdr:twoCellAnchor>
  <xdr:oneCellAnchor>
    <xdr:from>
      <xdr:col>4</xdr:col>
      <xdr:colOff>98960</xdr:colOff>
      <xdr:row>76</xdr:row>
      <xdr:rowOff>222660</xdr:rowOff>
    </xdr:from>
    <xdr:ext cx="561864" cy="654669"/>
    <xdr:pic>
      <xdr:nvPicPr>
        <xdr:cNvPr id="763" name="Picture 762">
          <a:extLst>
            <a:ext uri="{FF2B5EF4-FFF2-40B4-BE49-F238E27FC236}">
              <a16:creationId xmlns:a16="http://schemas.microsoft.com/office/drawing/2014/main" id="{E23BB0BB-B7D6-46B5-9141-30BA4DC3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485" y="66097560"/>
          <a:ext cx="561864" cy="654669"/>
        </a:xfrm>
        <a:prstGeom prst="rect">
          <a:avLst/>
        </a:prstGeom>
      </xdr:spPr>
    </xdr:pic>
    <xdr:clientData/>
  </xdr:oneCellAnchor>
  <xdr:oneCellAnchor>
    <xdr:from>
      <xdr:col>4</xdr:col>
      <xdr:colOff>98960</xdr:colOff>
      <xdr:row>77</xdr:row>
      <xdr:rowOff>222660</xdr:rowOff>
    </xdr:from>
    <xdr:ext cx="561864" cy="654669"/>
    <xdr:pic>
      <xdr:nvPicPr>
        <xdr:cNvPr id="764" name="Picture 763">
          <a:extLst>
            <a:ext uri="{FF2B5EF4-FFF2-40B4-BE49-F238E27FC236}">
              <a16:creationId xmlns:a16="http://schemas.microsoft.com/office/drawing/2014/main" id="{506D2F66-C297-4EEF-AB42-90B8C49F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1485" y="67211985"/>
          <a:ext cx="561864" cy="654669"/>
        </a:xfrm>
        <a:prstGeom prst="rect">
          <a:avLst/>
        </a:prstGeom>
      </xdr:spPr>
    </xdr:pic>
    <xdr:clientData/>
  </xdr:oneCellAnchor>
  <xdr:oneCellAnchor>
    <xdr:from>
      <xdr:col>4</xdr:col>
      <xdr:colOff>754570</xdr:colOff>
      <xdr:row>77</xdr:row>
      <xdr:rowOff>235030</xdr:rowOff>
    </xdr:from>
    <xdr:ext cx="557430" cy="673391"/>
    <xdr:pic>
      <xdr:nvPicPr>
        <xdr:cNvPr id="765" name="Picture 764">
          <a:extLst>
            <a:ext uri="{FF2B5EF4-FFF2-40B4-BE49-F238E27FC236}">
              <a16:creationId xmlns:a16="http://schemas.microsoft.com/office/drawing/2014/main" id="{09C03293-752F-48E3-AFC6-52518C86D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095" y="67224355"/>
          <a:ext cx="557430" cy="673391"/>
        </a:xfrm>
        <a:prstGeom prst="rect">
          <a:avLst/>
        </a:prstGeom>
      </xdr:spPr>
    </xdr:pic>
    <xdr:clientData/>
  </xdr:oneCellAnchor>
  <xdr:twoCellAnchor editAs="oneCell">
    <xdr:from>
      <xdr:col>4</xdr:col>
      <xdr:colOff>48844</xdr:colOff>
      <xdr:row>79</xdr:row>
      <xdr:rowOff>201568</xdr:rowOff>
    </xdr:from>
    <xdr:to>
      <xdr:col>4</xdr:col>
      <xdr:colOff>603946</xdr:colOff>
      <xdr:row>79</xdr:row>
      <xdr:rowOff>867342</xdr:rowOff>
    </xdr:to>
    <xdr:pic>
      <xdr:nvPicPr>
        <xdr:cNvPr id="766" name="Picture 765">
          <a:extLst>
            <a:ext uri="{FF2B5EF4-FFF2-40B4-BE49-F238E27FC236}">
              <a16:creationId xmlns:a16="http://schemas.microsoft.com/office/drawing/2014/main" id="{25722175-5FAD-46C5-9AD1-623A7396C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369" y="69419743"/>
          <a:ext cx="555102" cy="665774"/>
        </a:xfrm>
        <a:prstGeom prst="rect">
          <a:avLst/>
        </a:prstGeom>
      </xdr:spPr>
    </xdr:pic>
    <xdr:clientData/>
  </xdr:twoCellAnchor>
  <xdr:twoCellAnchor editAs="oneCell">
    <xdr:from>
      <xdr:col>4</xdr:col>
      <xdr:colOff>648805</xdr:colOff>
      <xdr:row>79</xdr:row>
      <xdr:rowOff>195234</xdr:rowOff>
    </xdr:from>
    <xdr:to>
      <xdr:col>4</xdr:col>
      <xdr:colOff>1205650</xdr:colOff>
      <xdr:row>79</xdr:row>
      <xdr:rowOff>853095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id="{B056CB03-3016-4FD5-9E26-5177B7F3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30" y="69413409"/>
          <a:ext cx="556845" cy="657861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1270001</xdr:colOff>
      <xdr:row>79</xdr:row>
      <xdr:rowOff>193801</xdr:rowOff>
    </xdr:from>
    <xdr:to>
      <xdr:col>4</xdr:col>
      <xdr:colOff>1827431</xdr:colOff>
      <xdr:row>79</xdr:row>
      <xdr:rowOff>867192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30F328CB-1D0E-4464-B7F1-0C9277805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6" y="69411976"/>
          <a:ext cx="557430" cy="673391"/>
        </a:xfrm>
        <a:prstGeom prst="rect">
          <a:avLst/>
        </a:prstGeom>
      </xdr:spPr>
    </xdr:pic>
    <xdr:clientData/>
  </xdr:twoCellAnchor>
  <xdr:twoCellAnchor editAs="oneCell">
    <xdr:from>
      <xdr:col>4</xdr:col>
      <xdr:colOff>98326</xdr:colOff>
      <xdr:row>80</xdr:row>
      <xdr:rowOff>55512</xdr:rowOff>
    </xdr:from>
    <xdr:to>
      <xdr:col>4</xdr:col>
      <xdr:colOff>673827</xdr:colOff>
      <xdr:row>80</xdr:row>
      <xdr:rowOff>729318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id="{4B8F0711-EEBE-4DB3-B5CD-8E75B704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851" y="70283337"/>
          <a:ext cx="575501" cy="673806"/>
        </a:xfrm>
        <a:prstGeom prst="rect">
          <a:avLst/>
        </a:prstGeom>
      </xdr:spPr>
    </xdr:pic>
    <xdr:clientData/>
  </xdr:twoCellAnchor>
  <xdr:oneCellAnchor>
    <xdr:from>
      <xdr:col>4</xdr:col>
      <xdr:colOff>48844</xdr:colOff>
      <xdr:row>78</xdr:row>
      <xdr:rowOff>201568</xdr:rowOff>
    </xdr:from>
    <xdr:ext cx="555102" cy="665774"/>
    <xdr:pic>
      <xdr:nvPicPr>
        <xdr:cNvPr id="770" name="Picture 769">
          <a:extLst>
            <a:ext uri="{FF2B5EF4-FFF2-40B4-BE49-F238E27FC236}">
              <a16:creationId xmlns:a16="http://schemas.microsoft.com/office/drawing/2014/main" id="{D58936BF-B421-4A89-829B-570EBE43B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369" y="68305318"/>
          <a:ext cx="555102" cy="665774"/>
        </a:xfrm>
        <a:prstGeom prst="rect">
          <a:avLst/>
        </a:prstGeom>
      </xdr:spPr>
    </xdr:pic>
    <xdr:clientData/>
  </xdr:oneCellAnchor>
  <xdr:oneCellAnchor>
    <xdr:from>
      <xdr:col>4</xdr:col>
      <xdr:colOff>648805</xdr:colOff>
      <xdr:row>78</xdr:row>
      <xdr:rowOff>195234</xdr:rowOff>
    </xdr:from>
    <xdr:ext cx="556845" cy="657861"/>
    <xdr:pic>
      <xdr:nvPicPr>
        <xdr:cNvPr id="771" name="Picture 770">
          <a:extLst>
            <a:ext uri="{FF2B5EF4-FFF2-40B4-BE49-F238E27FC236}">
              <a16:creationId xmlns:a16="http://schemas.microsoft.com/office/drawing/2014/main" id="{A56BD434-13E5-435F-B1D2-F56FF3A4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30" y="68298984"/>
          <a:ext cx="556845" cy="657861"/>
        </a:xfrm>
        <a:prstGeom prst="rect">
          <a:avLst/>
        </a:prstGeom>
      </xdr:spPr>
    </xdr:pic>
    <xdr:clientData/>
  </xdr:oneCellAnchor>
  <xdr:oneCellAnchor>
    <xdr:from>
      <xdr:col>4</xdr:col>
      <xdr:colOff>1270001</xdr:colOff>
      <xdr:row>78</xdr:row>
      <xdr:rowOff>193801</xdr:rowOff>
    </xdr:from>
    <xdr:ext cx="557430" cy="673391"/>
    <xdr:pic>
      <xdr:nvPicPr>
        <xdr:cNvPr id="772" name="Picture 771">
          <a:extLst>
            <a:ext uri="{FF2B5EF4-FFF2-40B4-BE49-F238E27FC236}">
              <a16:creationId xmlns:a16="http://schemas.microsoft.com/office/drawing/2014/main" id="{A1A3CBF8-B3FB-49FC-9794-94147270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6" y="68297551"/>
          <a:ext cx="557430" cy="673391"/>
        </a:xfrm>
        <a:prstGeom prst="rect">
          <a:avLst/>
        </a:prstGeom>
      </xdr:spPr>
    </xdr:pic>
    <xdr:clientData/>
  </xdr:oneCellAnchor>
  <xdr:oneCellAnchor>
    <xdr:from>
      <xdr:col>4</xdr:col>
      <xdr:colOff>109261</xdr:colOff>
      <xdr:row>81</xdr:row>
      <xdr:rowOff>68889</xdr:rowOff>
    </xdr:from>
    <xdr:ext cx="555102" cy="665031"/>
    <xdr:pic>
      <xdr:nvPicPr>
        <xdr:cNvPr id="773" name="Picture 772">
          <a:extLst>
            <a:ext uri="{FF2B5EF4-FFF2-40B4-BE49-F238E27FC236}">
              <a16:creationId xmlns:a16="http://schemas.microsoft.com/office/drawing/2014/main" id="{371C5697-B228-4F70-9BAA-5C7478DF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786" y="50408514"/>
          <a:ext cx="555102" cy="665031"/>
        </a:xfrm>
        <a:prstGeom prst="rect">
          <a:avLst/>
        </a:prstGeom>
      </xdr:spPr>
    </xdr:pic>
    <xdr:clientData/>
  </xdr:oneCellAnchor>
  <xdr:twoCellAnchor editAs="oneCell">
    <xdr:from>
      <xdr:col>4</xdr:col>
      <xdr:colOff>84521</xdr:colOff>
      <xdr:row>82</xdr:row>
      <xdr:rowOff>104563</xdr:rowOff>
    </xdr:from>
    <xdr:to>
      <xdr:col>4</xdr:col>
      <xdr:colOff>639623</xdr:colOff>
      <xdr:row>82</xdr:row>
      <xdr:rowOff>761059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id="{84F4D36F-7901-4F16-B8CC-C6900E04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046" y="53816038"/>
          <a:ext cx="555102" cy="656496"/>
        </a:xfrm>
        <a:prstGeom prst="rect">
          <a:avLst/>
        </a:prstGeom>
      </xdr:spPr>
    </xdr:pic>
    <xdr:clientData/>
  </xdr:twoCellAnchor>
  <xdr:twoCellAnchor editAs="oneCell">
    <xdr:from>
      <xdr:col>4</xdr:col>
      <xdr:colOff>720156</xdr:colOff>
      <xdr:row>82</xdr:row>
      <xdr:rowOff>121910</xdr:rowOff>
    </xdr:from>
    <xdr:to>
      <xdr:col>4</xdr:col>
      <xdr:colOff>1282020</xdr:colOff>
      <xdr:row>82</xdr:row>
      <xdr:rowOff>776579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id="{DE6CE4BF-9443-451A-A1D2-69837878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81" y="53833385"/>
          <a:ext cx="561864" cy="654669"/>
        </a:xfrm>
        <a:prstGeom prst="rect">
          <a:avLst/>
        </a:prstGeom>
      </xdr:spPr>
    </xdr:pic>
    <xdr:clientData/>
  </xdr:twoCellAnchor>
  <xdr:twoCellAnchor editAs="oneCell">
    <xdr:from>
      <xdr:col>4</xdr:col>
      <xdr:colOff>118502</xdr:colOff>
      <xdr:row>83</xdr:row>
      <xdr:rowOff>64363</xdr:rowOff>
    </xdr:from>
    <xdr:to>
      <xdr:col>4</xdr:col>
      <xdr:colOff>670329</xdr:colOff>
      <xdr:row>83</xdr:row>
      <xdr:rowOff>733375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924FF55B-C60C-49E5-848D-C7D6D1C7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4699763"/>
          <a:ext cx="551827" cy="669012"/>
        </a:xfrm>
        <a:prstGeom prst="rect">
          <a:avLst/>
        </a:prstGeom>
      </xdr:spPr>
    </xdr:pic>
    <xdr:clientData/>
  </xdr:twoCellAnchor>
  <xdr:oneCellAnchor>
    <xdr:from>
      <xdr:col>4</xdr:col>
      <xdr:colOff>118502</xdr:colOff>
      <xdr:row>84</xdr:row>
      <xdr:rowOff>64363</xdr:rowOff>
    </xdr:from>
    <xdr:ext cx="551827" cy="669012"/>
    <xdr:pic>
      <xdr:nvPicPr>
        <xdr:cNvPr id="777" name="Picture 776">
          <a:extLst>
            <a:ext uri="{FF2B5EF4-FFF2-40B4-BE49-F238E27FC236}">
              <a16:creationId xmlns:a16="http://schemas.microsoft.com/office/drawing/2014/main" id="{D9736D69-7498-490D-9848-0DF30CBB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5490338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85</xdr:row>
      <xdr:rowOff>64363</xdr:rowOff>
    </xdr:from>
    <xdr:ext cx="551827" cy="669012"/>
    <xdr:pic>
      <xdr:nvPicPr>
        <xdr:cNvPr id="778" name="Picture 777">
          <a:extLst>
            <a:ext uri="{FF2B5EF4-FFF2-40B4-BE49-F238E27FC236}">
              <a16:creationId xmlns:a16="http://schemas.microsoft.com/office/drawing/2014/main" id="{E2713CC4-0499-4AB6-936D-BF593C0B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6242813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86</xdr:row>
      <xdr:rowOff>64363</xdr:rowOff>
    </xdr:from>
    <xdr:ext cx="551827" cy="669012"/>
    <xdr:pic>
      <xdr:nvPicPr>
        <xdr:cNvPr id="779" name="Picture 778">
          <a:extLst>
            <a:ext uri="{FF2B5EF4-FFF2-40B4-BE49-F238E27FC236}">
              <a16:creationId xmlns:a16="http://schemas.microsoft.com/office/drawing/2014/main" id="{E589581E-DCE0-49E0-BB6E-EE3C4BB2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7119113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87</xdr:row>
      <xdr:rowOff>64363</xdr:rowOff>
    </xdr:from>
    <xdr:ext cx="551827" cy="669012"/>
    <xdr:pic>
      <xdr:nvPicPr>
        <xdr:cNvPr id="780" name="Picture 779">
          <a:extLst>
            <a:ext uri="{FF2B5EF4-FFF2-40B4-BE49-F238E27FC236}">
              <a16:creationId xmlns:a16="http://schemas.microsoft.com/office/drawing/2014/main" id="{14B85660-2A60-4FDB-B163-97A792923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7871588"/>
          <a:ext cx="551827" cy="669012"/>
        </a:xfrm>
        <a:prstGeom prst="rect">
          <a:avLst/>
        </a:prstGeom>
      </xdr:spPr>
    </xdr:pic>
    <xdr:clientData/>
  </xdr:oneCellAnchor>
  <xdr:oneCellAnchor>
    <xdr:from>
      <xdr:col>4</xdr:col>
      <xdr:colOff>118502</xdr:colOff>
      <xdr:row>88</xdr:row>
      <xdr:rowOff>64363</xdr:rowOff>
    </xdr:from>
    <xdr:ext cx="551827" cy="669012"/>
    <xdr:pic>
      <xdr:nvPicPr>
        <xdr:cNvPr id="781" name="Picture 780">
          <a:extLst>
            <a:ext uri="{FF2B5EF4-FFF2-40B4-BE49-F238E27FC236}">
              <a16:creationId xmlns:a16="http://schemas.microsoft.com/office/drawing/2014/main" id="{27ECB228-11C3-46AE-9C9B-3ACE866A9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027" y="58776463"/>
          <a:ext cx="551827" cy="669012"/>
        </a:xfrm>
        <a:prstGeom prst="rect">
          <a:avLst/>
        </a:prstGeom>
      </xdr:spPr>
    </xdr:pic>
    <xdr:clientData/>
  </xdr:oneCellAnchor>
  <xdr:twoCellAnchor editAs="oneCell">
    <xdr:from>
      <xdr:col>4</xdr:col>
      <xdr:colOff>55218</xdr:colOff>
      <xdr:row>93</xdr:row>
      <xdr:rowOff>210293</xdr:rowOff>
    </xdr:from>
    <xdr:to>
      <xdr:col>4</xdr:col>
      <xdr:colOff>610320</xdr:colOff>
      <xdr:row>93</xdr:row>
      <xdr:rowOff>937161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C6C9DC7B-C386-4EE3-889F-DAA55024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73057493"/>
          <a:ext cx="555102" cy="726868"/>
        </a:xfrm>
        <a:prstGeom prst="rect">
          <a:avLst/>
        </a:prstGeom>
      </xdr:spPr>
    </xdr:pic>
    <xdr:clientData/>
  </xdr:twoCellAnchor>
  <xdr:twoCellAnchor editAs="oneCell">
    <xdr:from>
      <xdr:col>4</xdr:col>
      <xdr:colOff>676413</xdr:colOff>
      <xdr:row>93</xdr:row>
      <xdr:rowOff>210292</xdr:rowOff>
    </xdr:from>
    <xdr:to>
      <xdr:col>4</xdr:col>
      <xdr:colOff>1216861</xdr:colOff>
      <xdr:row>93</xdr:row>
      <xdr:rowOff>919779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id="{4DE1281F-6F0F-415E-9FBF-2234DFAC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38" y="73057492"/>
          <a:ext cx="540448" cy="709487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1269999</xdr:colOff>
      <xdr:row>93</xdr:row>
      <xdr:rowOff>234674</xdr:rowOff>
    </xdr:from>
    <xdr:to>
      <xdr:col>4</xdr:col>
      <xdr:colOff>1845500</xdr:colOff>
      <xdr:row>93</xdr:row>
      <xdr:rowOff>904522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BA82CF8C-5B25-45FC-B405-47BB08BE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4" y="73081874"/>
          <a:ext cx="575501" cy="669848"/>
        </a:xfrm>
        <a:prstGeom prst="rect">
          <a:avLst/>
        </a:prstGeom>
      </xdr:spPr>
    </xdr:pic>
    <xdr:clientData/>
  </xdr:twoCellAnchor>
  <xdr:twoCellAnchor editAs="oneCell">
    <xdr:from>
      <xdr:col>4</xdr:col>
      <xdr:colOff>1918804</xdr:colOff>
      <xdr:row>93</xdr:row>
      <xdr:rowOff>234673</xdr:rowOff>
    </xdr:from>
    <xdr:to>
      <xdr:col>4</xdr:col>
      <xdr:colOff>2463868</xdr:colOff>
      <xdr:row>93</xdr:row>
      <xdr:rowOff>889243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id="{27D5922A-B2BE-47F5-96F2-DAE2EC70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29" y="73081873"/>
          <a:ext cx="545064" cy="654570"/>
        </a:xfrm>
        <a:prstGeom prst="rect">
          <a:avLst/>
        </a:prstGeom>
      </xdr:spPr>
    </xdr:pic>
    <xdr:clientData/>
  </xdr:twoCellAnchor>
  <xdr:oneCellAnchor>
    <xdr:from>
      <xdr:col>4</xdr:col>
      <xdr:colOff>55218</xdr:colOff>
      <xdr:row>94</xdr:row>
      <xdr:rowOff>49483</xdr:rowOff>
    </xdr:from>
    <xdr:ext cx="555102" cy="726868"/>
    <xdr:pic>
      <xdr:nvPicPr>
        <xdr:cNvPr id="874" name="Picture 873">
          <a:extLst>
            <a:ext uri="{FF2B5EF4-FFF2-40B4-BE49-F238E27FC236}">
              <a16:creationId xmlns:a16="http://schemas.microsoft.com/office/drawing/2014/main" id="{1745DDEC-F59B-4C4A-9D0E-CEDB09FB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73982533"/>
          <a:ext cx="555102" cy="726868"/>
        </a:xfrm>
        <a:prstGeom prst="rect">
          <a:avLst/>
        </a:prstGeom>
      </xdr:spPr>
    </xdr:pic>
    <xdr:clientData/>
  </xdr:oneCellAnchor>
  <xdr:oneCellAnchor>
    <xdr:from>
      <xdr:col>4</xdr:col>
      <xdr:colOff>676413</xdr:colOff>
      <xdr:row>94</xdr:row>
      <xdr:rowOff>74222</xdr:rowOff>
    </xdr:from>
    <xdr:ext cx="540448" cy="709487"/>
    <xdr:pic>
      <xdr:nvPicPr>
        <xdr:cNvPr id="875" name="Picture 874">
          <a:extLst>
            <a:ext uri="{FF2B5EF4-FFF2-40B4-BE49-F238E27FC236}">
              <a16:creationId xmlns:a16="http://schemas.microsoft.com/office/drawing/2014/main" id="{7F1B577E-0666-495E-8255-C9BE8A032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38" y="74007272"/>
          <a:ext cx="540448" cy="709487"/>
        </a:xfrm>
        <a:prstGeom prst="rect">
          <a:avLst/>
        </a:prstGeom>
      </xdr:spPr>
    </xdr:pic>
    <xdr:clientData/>
  </xdr:oneCellAnchor>
  <xdr:oneCellAnchor>
    <xdr:from>
      <xdr:col>4</xdr:col>
      <xdr:colOff>1269999</xdr:colOff>
      <xdr:row>94</xdr:row>
      <xdr:rowOff>73864</xdr:rowOff>
    </xdr:from>
    <xdr:ext cx="575501" cy="669848"/>
    <xdr:pic>
      <xdr:nvPicPr>
        <xdr:cNvPr id="876" name="Picture 875">
          <a:extLst>
            <a:ext uri="{FF2B5EF4-FFF2-40B4-BE49-F238E27FC236}">
              <a16:creationId xmlns:a16="http://schemas.microsoft.com/office/drawing/2014/main" id="{48C2C472-D859-413F-BFCF-6355BF3F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4" y="74006914"/>
          <a:ext cx="575501" cy="669848"/>
        </a:xfrm>
        <a:prstGeom prst="rect">
          <a:avLst/>
        </a:prstGeom>
      </xdr:spPr>
    </xdr:pic>
    <xdr:clientData/>
  </xdr:oneCellAnchor>
  <xdr:oneCellAnchor>
    <xdr:from>
      <xdr:col>4</xdr:col>
      <xdr:colOff>1918804</xdr:colOff>
      <xdr:row>94</xdr:row>
      <xdr:rowOff>61493</xdr:rowOff>
    </xdr:from>
    <xdr:ext cx="545064" cy="654570"/>
    <xdr:pic>
      <xdr:nvPicPr>
        <xdr:cNvPr id="877" name="Picture 876">
          <a:extLst>
            <a:ext uri="{FF2B5EF4-FFF2-40B4-BE49-F238E27FC236}">
              <a16:creationId xmlns:a16="http://schemas.microsoft.com/office/drawing/2014/main" id="{E929F59C-31FB-44DC-A8D9-13A1B4CA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29" y="73994543"/>
          <a:ext cx="545064" cy="654570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95</xdr:row>
      <xdr:rowOff>49483</xdr:rowOff>
    </xdr:from>
    <xdr:ext cx="555102" cy="726868"/>
    <xdr:pic>
      <xdr:nvPicPr>
        <xdr:cNvPr id="878" name="Picture 877">
          <a:extLst>
            <a:ext uri="{FF2B5EF4-FFF2-40B4-BE49-F238E27FC236}">
              <a16:creationId xmlns:a16="http://schemas.microsoft.com/office/drawing/2014/main" id="{3CD7312F-A789-4E9C-B959-19D9B0C42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74782633"/>
          <a:ext cx="555102" cy="726868"/>
        </a:xfrm>
        <a:prstGeom prst="rect">
          <a:avLst/>
        </a:prstGeom>
      </xdr:spPr>
    </xdr:pic>
    <xdr:clientData/>
  </xdr:oneCellAnchor>
  <xdr:oneCellAnchor>
    <xdr:from>
      <xdr:col>4</xdr:col>
      <xdr:colOff>676413</xdr:colOff>
      <xdr:row>95</xdr:row>
      <xdr:rowOff>74222</xdr:rowOff>
    </xdr:from>
    <xdr:ext cx="540448" cy="709487"/>
    <xdr:pic>
      <xdr:nvPicPr>
        <xdr:cNvPr id="879" name="Picture 878">
          <a:extLst>
            <a:ext uri="{FF2B5EF4-FFF2-40B4-BE49-F238E27FC236}">
              <a16:creationId xmlns:a16="http://schemas.microsoft.com/office/drawing/2014/main" id="{5AEC16D3-DB3B-4842-9194-09F0C9416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38" y="74807372"/>
          <a:ext cx="540448" cy="709487"/>
        </a:xfrm>
        <a:prstGeom prst="rect">
          <a:avLst/>
        </a:prstGeom>
      </xdr:spPr>
    </xdr:pic>
    <xdr:clientData/>
  </xdr:oneCellAnchor>
  <xdr:oneCellAnchor>
    <xdr:from>
      <xdr:col>4</xdr:col>
      <xdr:colOff>1269999</xdr:colOff>
      <xdr:row>95</xdr:row>
      <xdr:rowOff>73864</xdr:rowOff>
    </xdr:from>
    <xdr:ext cx="575501" cy="669848"/>
    <xdr:pic>
      <xdr:nvPicPr>
        <xdr:cNvPr id="880" name="Picture 879">
          <a:extLst>
            <a:ext uri="{FF2B5EF4-FFF2-40B4-BE49-F238E27FC236}">
              <a16:creationId xmlns:a16="http://schemas.microsoft.com/office/drawing/2014/main" id="{BA2F73C2-29BF-4C4A-B6C1-5D9B4BFF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4" y="74807014"/>
          <a:ext cx="575501" cy="669848"/>
        </a:xfrm>
        <a:prstGeom prst="rect">
          <a:avLst/>
        </a:prstGeom>
      </xdr:spPr>
    </xdr:pic>
    <xdr:clientData/>
  </xdr:oneCellAnchor>
  <xdr:oneCellAnchor>
    <xdr:from>
      <xdr:col>4</xdr:col>
      <xdr:colOff>1918804</xdr:colOff>
      <xdr:row>95</xdr:row>
      <xdr:rowOff>61493</xdr:rowOff>
    </xdr:from>
    <xdr:ext cx="545064" cy="654570"/>
    <xdr:pic>
      <xdr:nvPicPr>
        <xdr:cNvPr id="881" name="Picture 880">
          <a:extLst>
            <a:ext uri="{FF2B5EF4-FFF2-40B4-BE49-F238E27FC236}">
              <a16:creationId xmlns:a16="http://schemas.microsoft.com/office/drawing/2014/main" id="{A8D090F5-5427-4F47-8D78-F6E74E21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29" y="74794643"/>
          <a:ext cx="545064" cy="654570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96</xdr:row>
      <xdr:rowOff>210293</xdr:rowOff>
    </xdr:from>
    <xdr:ext cx="555102" cy="726868"/>
    <xdr:pic>
      <xdr:nvPicPr>
        <xdr:cNvPr id="882" name="Picture 881">
          <a:extLst>
            <a:ext uri="{FF2B5EF4-FFF2-40B4-BE49-F238E27FC236}">
              <a16:creationId xmlns:a16="http://schemas.microsoft.com/office/drawing/2014/main" id="{24FD757F-C104-4DA2-AA01-1ED08A09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75743543"/>
          <a:ext cx="555102" cy="726868"/>
        </a:xfrm>
        <a:prstGeom prst="rect">
          <a:avLst/>
        </a:prstGeom>
      </xdr:spPr>
    </xdr:pic>
    <xdr:clientData/>
  </xdr:oneCellAnchor>
  <xdr:oneCellAnchor>
    <xdr:from>
      <xdr:col>4</xdr:col>
      <xdr:colOff>676413</xdr:colOff>
      <xdr:row>96</xdr:row>
      <xdr:rowOff>222662</xdr:rowOff>
    </xdr:from>
    <xdr:ext cx="540448" cy="709487"/>
    <xdr:pic>
      <xdr:nvPicPr>
        <xdr:cNvPr id="883" name="Picture 882">
          <a:extLst>
            <a:ext uri="{FF2B5EF4-FFF2-40B4-BE49-F238E27FC236}">
              <a16:creationId xmlns:a16="http://schemas.microsoft.com/office/drawing/2014/main" id="{A96E16D4-8B49-4D00-A2D7-8587416D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938" y="75755912"/>
          <a:ext cx="540448" cy="709487"/>
        </a:xfrm>
        <a:prstGeom prst="rect">
          <a:avLst/>
        </a:prstGeom>
      </xdr:spPr>
    </xdr:pic>
    <xdr:clientData/>
  </xdr:oneCellAnchor>
  <xdr:oneCellAnchor>
    <xdr:from>
      <xdr:col>4</xdr:col>
      <xdr:colOff>1269999</xdr:colOff>
      <xdr:row>96</xdr:row>
      <xdr:rowOff>222304</xdr:rowOff>
    </xdr:from>
    <xdr:ext cx="575501" cy="669848"/>
    <xdr:pic>
      <xdr:nvPicPr>
        <xdr:cNvPr id="884" name="Picture 883">
          <a:extLst>
            <a:ext uri="{FF2B5EF4-FFF2-40B4-BE49-F238E27FC236}">
              <a16:creationId xmlns:a16="http://schemas.microsoft.com/office/drawing/2014/main" id="{20C15A10-E9CF-485D-B336-E978620C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4" y="75755554"/>
          <a:ext cx="575501" cy="669848"/>
        </a:xfrm>
        <a:prstGeom prst="rect">
          <a:avLst/>
        </a:prstGeom>
      </xdr:spPr>
    </xdr:pic>
    <xdr:clientData/>
  </xdr:oneCellAnchor>
  <xdr:oneCellAnchor>
    <xdr:from>
      <xdr:col>4</xdr:col>
      <xdr:colOff>1918804</xdr:colOff>
      <xdr:row>96</xdr:row>
      <xdr:rowOff>222303</xdr:rowOff>
    </xdr:from>
    <xdr:ext cx="545064" cy="654570"/>
    <xdr:pic>
      <xdr:nvPicPr>
        <xdr:cNvPr id="885" name="Picture 884">
          <a:extLst>
            <a:ext uri="{FF2B5EF4-FFF2-40B4-BE49-F238E27FC236}">
              <a16:creationId xmlns:a16="http://schemas.microsoft.com/office/drawing/2014/main" id="{522EFA6B-83AE-47FF-AE13-624577B2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329" y="75755553"/>
          <a:ext cx="545064" cy="654570"/>
        </a:xfrm>
        <a:prstGeom prst="rect">
          <a:avLst/>
        </a:prstGeom>
      </xdr:spPr>
    </xdr:pic>
    <xdr:clientData/>
  </xdr:oneCellAnchor>
  <xdr:oneCellAnchor>
    <xdr:from>
      <xdr:col>4</xdr:col>
      <xdr:colOff>729844</xdr:colOff>
      <xdr:row>97</xdr:row>
      <xdr:rowOff>247400</xdr:rowOff>
    </xdr:from>
    <xdr:ext cx="575501" cy="669848"/>
    <xdr:pic>
      <xdr:nvPicPr>
        <xdr:cNvPr id="886" name="Picture 885">
          <a:extLst>
            <a:ext uri="{FF2B5EF4-FFF2-40B4-BE49-F238E27FC236}">
              <a16:creationId xmlns:a16="http://schemas.microsoft.com/office/drawing/2014/main" id="{8A1120BE-6674-4AC2-B40F-29C7B902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369" y="77057000"/>
          <a:ext cx="575501" cy="669848"/>
        </a:xfrm>
        <a:prstGeom prst="rect">
          <a:avLst/>
        </a:prstGeom>
      </xdr:spPr>
    </xdr:pic>
    <xdr:clientData/>
  </xdr:oneCellAnchor>
  <xdr:twoCellAnchor editAs="oneCell">
    <xdr:from>
      <xdr:col>4</xdr:col>
      <xdr:colOff>98961</xdr:colOff>
      <xdr:row>97</xdr:row>
      <xdr:rowOff>247401</xdr:rowOff>
    </xdr:from>
    <xdr:to>
      <xdr:col>4</xdr:col>
      <xdr:colOff>677957</xdr:colOff>
      <xdr:row>97</xdr:row>
      <xdr:rowOff>940129</xdr:rowOff>
    </xdr:to>
    <xdr:pic>
      <xdr:nvPicPr>
        <xdr:cNvPr id="887" name="Picture 886" descr="SDGs Tujuan 5 – Kesetaraan Gender (Gender Equality) – Badan ...">
          <a:extLst>
            <a:ext uri="{FF2B5EF4-FFF2-40B4-BE49-F238E27FC236}">
              <a16:creationId xmlns:a16="http://schemas.microsoft.com/office/drawing/2014/main" id="{41A7C69B-C53C-4F43-9047-15D3E595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486" y="77057001"/>
          <a:ext cx="578996" cy="69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41414</xdr:colOff>
      <xdr:row>98</xdr:row>
      <xdr:rowOff>110434</xdr:rowOff>
    </xdr:from>
    <xdr:to>
      <xdr:col>4</xdr:col>
      <xdr:colOff>596516</xdr:colOff>
      <xdr:row>98</xdr:row>
      <xdr:rowOff>714357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70A090F0-B766-4A2F-86A2-64CCFB91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78234484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98</xdr:row>
      <xdr:rowOff>110434</xdr:rowOff>
    </xdr:from>
    <xdr:to>
      <xdr:col>4</xdr:col>
      <xdr:colOff>1175448</xdr:colOff>
      <xdr:row>98</xdr:row>
      <xdr:rowOff>692697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7C552571-B05F-4BB7-A5A2-91A5C253C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78234484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98</xdr:row>
      <xdr:rowOff>96630</xdr:rowOff>
    </xdr:from>
    <xdr:to>
      <xdr:col>4</xdr:col>
      <xdr:colOff>1790283</xdr:colOff>
      <xdr:row>98</xdr:row>
      <xdr:rowOff>737903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BDB078F3-F232-4660-B5BD-65675031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78220680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98</xdr:row>
      <xdr:rowOff>110434</xdr:rowOff>
    </xdr:from>
    <xdr:to>
      <xdr:col>4</xdr:col>
      <xdr:colOff>2381042</xdr:colOff>
      <xdr:row>98</xdr:row>
      <xdr:rowOff>736429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id="{B4C254C6-EA28-49E1-B5FC-967EAD66D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78234484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99</xdr:row>
      <xdr:rowOff>110434</xdr:rowOff>
    </xdr:from>
    <xdr:to>
      <xdr:col>4</xdr:col>
      <xdr:colOff>596516</xdr:colOff>
      <xdr:row>99</xdr:row>
      <xdr:rowOff>714357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58B5CA88-823F-4A95-BA71-AF5C1C78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79044109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99</xdr:row>
      <xdr:rowOff>124238</xdr:rowOff>
    </xdr:from>
    <xdr:to>
      <xdr:col>4</xdr:col>
      <xdr:colOff>1175448</xdr:colOff>
      <xdr:row>99</xdr:row>
      <xdr:rowOff>706501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3F980760-D482-4DC8-BC7E-3BB7F95F5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79057913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99</xdr:row>
      <xdr:rowOff>96630</xdr:rowOff>
    </xdr:from>
    <xdr:to>
      <xdr:col>4</xdr:col>
      <xdr:colOff>1790283</xdr:colOff>
      <xdr:row>99</xdr:row>
      <xdr:rowOff>737903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E3BFE091-3166-48F5-BBC4-A64EA969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79030305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99</xdr:row>
      <xdr:rowOff>110434</xdr:rowOff>
    </xdr:from>
    <xdr:to>
      <xdr:col>4</xdr:col>
      <xdr:colOff>2381042</xdr:colOff>
      <xdr:row>99</xdr:row>
      <xdr:rowOff>736429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id="{BB54F102-FA25-4162-9208-34EA2C12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79044109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100</xdr:row>
      <xdr:rowOff>110434</xdr:rowOff>
    </xdr:from>
    <xdr:to>
      <xdr:col>4</xdr:col>
      <xdr:colOff>596516</xdr:colOff>
      <xdr:row>100</xdr:row>
      <xdr:rowOff>714357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444F25BD-3FF6-4002-B6FF-84111BF2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79891834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100</xdr:row>
      <xdr:rowOff>124238</xdr:rowOff>
    </xdr:from>
    <xdr:to>
      <xdr:col>4</xdr:col>
      <xdr:colOff>1175448</xdr:colOff>
      <xdr:row>100</xdr:row>
      <xdr:rowOff>706501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50A876EA-C2C4-46AA-9ADE-A4E64069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79905638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100</xdr:row>
      <xdr:rowOff>96630</xdr:rowOff>
    </xdr:from>
    <xdr:to>
      <xdr:col>4</xdr:col>
      <xdr:colOff>1790283</xdr:colOff>
      <xdr:row>100</xdr:row>
      <xdr:rowOff>737903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319CED94-9695-412A-A88E-85B088CC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79878030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100</xdr:row>
      <xdr:rowOff>110434</xdr:rowOff>
    </xdr:from>
    <xdr:to>
      <xdr:col>4</xdr:col>
      <xdr:colOff>2381042</xdr:colOff>
      <xdr:row>100</xdr:row>
      <xdr:rowOff>736429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id="{59181F2B-9248-4C1A-BA1A-82AA0DBF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79891834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101</xdr:row>
      <xdr:rowOff>110434</xdr:rowOff>
    </xdr:from>
    <xdr:to>
      <xdr:col>4</xdr:col>
      <xdr:colOff>596516</xdr:colOff>
      <xdr:row>101</xdr:row>
      <xdr:rowOff>714357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C20D49EE-7520-43B3-ACAF-AD474916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0815759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101</xdr:row>
      <xdr:rowOff>124238</xdr:rowOff>
    </xdr:from>
    <xdr:to>
      <xdr:col>4</xdr:col>
      <xdr:colOff>1175448</xdr:colOff>
      <xdr:row>101</xdr:row>
      <xdr:rowOff>706501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99F6BB1D-48FE-4215-ADD9-1CFE018AC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0829563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101</xdr:row>
      <xdr:rowOff>96630</xdr:rowOff>
    </xdr:from>
    <xdr:to>
      <xdr:col>4</xdr:col>
      <xdr:colOff>1790283</xdr:colOff>
      <xdr:row>101</xdr:row>
      <xdr:rowOff>737903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A05A2297-CC22-4E3F-8190-45A9BE1C2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0801955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101</xdr:row>
      <xdr:rowOff>110434</xdr:rowOff>
    </xdr:from>
    <xdr:to>
      <xdr:col>4</xdr:col>
      <xdr:colOff>2381042</xdr:colOff>
      <xdr:row>101</xdr:row>
      <xdr:rowOff>736429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3CADE429-5B39-40E6-8EB5-89557C24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0815759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102</xdr:row>
      <xdr:rowOff>110434</xdr:rowOff>
    </xdr:from>
    <xdr:to>
      <xdr:col>4</xdr:col>
      <xdr:colOff>596516</xdr:colOff>
      <xdr:row>102</xdr:row>
      <xdr:rowOff>714357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A3BAC776-F246-41D9-AB7D-0B89E197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1720634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102</xdr:row>
      <xdr:rowOff>124238</xdr:rowOff>
    </xdr:from>
    <xdr:to>
      <xdr:col>4</xdr:col>
      <xdr:colOff>1175448</xdr:colOff>
      <xdr:row>102</xdr:row>
      <xdr:rowOff>706501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43214A83-8B09-41FA-A5A8-93F24030B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1734438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102</xdr:row>
      <xdr:rowOff>96630</xdr:rowOff>
    </xdr:from>
    <xdr:to>
      <xdr:col>4</xdr:col>
      <xdr:colOff>1790283</xdr:colOff>
      <xdr:row>102</xdr:row>
      <xdr:rowOff>737903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B0CD33F5-B3D1-48F4-B439-791BEFDE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1706830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102</xdr:row>
      <xdr:rowOff>110434</xdr:rowOff>
    </xdr:from>
    <xdr:to>
      <xdr:col>4</xdr:col>
      <xdr:colOff>2381042</xdr:colOff>
      <xdr:row>102</xdr:row>
      <xdr:rowOff>736429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4F13E5F4-174F-4893-8E7F-C826F7CC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1720634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103</xdr:row>
      <xdr:rowOff>110434</xdr:rowOff>
    </xdr:from>
    <xdr:to>
      <xdr:col>4</xdr:col>
      <xdr:colOff>596516</xdr:colOff>
      <xdr:row>103</xdr:row>
      <xdr:rowOff>714357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15B1D5ED-6544-4C0C-95A6-D93E6C33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2635034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103</xdr:row>
      <xdr:rowOff>110434</xdr:rowOff>
    </xdr:from>
    <xdr:to>
      <xdr:col>4</xdr:col>
      <xdr:colOff>1175448</xdr:colOff>
      <xdr:row>103</xdr:row>
      <xdr:rowOff>692697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D0E9261F-C32F-4A25-AEDC-4385AECD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2635034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103</xdr:row>
      <xdr:rowOff>96630</xdr:rowOff>
    </xdr:from>
    <xdr:to>
      <xdr:col>4</xdr:col>
      <xdr:colOff>1790283</xdr:colOff>
      <xdr:row>103</xdr:row>
      <xdr:rowOff>737903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F68DC06E-6C27-4B95-99FB-E20D6421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2621230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103</xdr:row>
      <xdr:rowOff>110434</xdr:rowOff>
    </xdr:from>
    <xdr:to>
      <xdr:col>4</xdr:col>
      <xdr:colOff>2381042</xdr:colOff>
      <xdr:row>103</xdr:row>
      <xdr:rowOff>736429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91B46D60-175D-4984-A4A2-E32FC5F4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2635034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104</xdr:row>
      <xdr:rowOff>110434</xdr:rowOff>
    </xdr:from>
    <xdr:to>
      <xdr:col>4</xdr:col>
      <xdr:colOff>596516</xdr:colOff>
      <xdr:row>104</xdr:row>
      <xdr:rowOff>714357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E635743B-103C-4919-A686-EE3FFE5A8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3558959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104</xdr:row>
      <xdr:rowOff>110434</xdr:rowOff>
    </xdr:from>
    <xdr:to>
      <xdr:col>4</xdr:col>
      <xdr:colOff>1175448</xdr:colOff>
      <xdr:row>104</xdr:row>
      <xdr:rowOff>692697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C553A838-6787-40BA-9CEF-9A3B60D9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3558959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104</xdr:row>
      <xdr:rowOff>96630</xdr:rowOff>
    </xdr:from>
    <xdr:to>
      <xdr:col>4</xdr:col>
      <xdr:colOff>1790283</xdr:colOff>
      <xdr:row>104</xdr:row>
      <xdr:rowOff>737903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B1350DFB-210B-469C-B326-CCD90AE1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3545155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104</xdr:row>
      <xdr:rowOff>110434</xdr:rowOff>
    </xdr:from>
    <xdr:to>
      <xdr:col>4</xdr:col>
      <xdr:colOff>2381042</xdr:colOff>
      <xdr:row>104</xdr:row>
      <xdr:rowOff>736429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724BE828-89B8-4515-A691-FA7A9DB9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3558959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86590</xdr:colOff>
      <xdr:row>105</xdr:row>
      <xdr:rowOff>86590</xdr:rowOff>
    </xdr:from>
    <xdr:to>
      <xdr:col>4</xdr:col>
      <xdr:colOff>641692</xdr:colOff>
      <xdr:row>105</xdr:row>
      <xdr:rowOff>690513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BF882F7B-D219-4FB8-9E17-47115AD5E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115" y="84382840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136070</xdr:colOff>
      <xdr:row>106</xdr:row>
      <xdr:rowOff>173180</xdr:rowOff>
    </xdr:from>
    <xdr:to>
      <xdr:col>4</xdr:col>
      <xdr:colOff>691172</xdr:colOff>
      <xdr:row>106</xdr:row>
      <xdr:rowOff>777103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688DFF0E-D3FB-4019-A505-58B59D25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595" y="85269530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108</xdr:row>
      <xdr:rowOff>317500</xdr:rowOff>
    </xdr:from>
    <xdr:to>
      <xdr:col>4</xdr:col>
      <xdr:colOff>1195122</xdr:colOff>
      <xdr:row>108</xdr:row>
      <xdr:rowOff>965322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2833D5D1-D518-4808-972F-E3E2045DD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6" y="86413975"/>
          <a:ext cx="560121" cy="647822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108</xdr:row>
      <xdr:rowOff>372716</xdr:rowOff>
    </xdr:from>
    <xdr:to>
      <xdr:col>4</xdr:col>
      <xdr:colOff>596516</xdr:colOff>
      <xdr:row>108</xdr:row>
      <xdr:rowOff>976639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3A6FC492-4791-4E08-8A27-4049BF0F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6469191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1256196</xdr:colOff>
      <xdr:row>108</xdr:row>
      <xdr:rowOff>358911</xdr:rowOff>
    </xdr:from>
    <xdr:to>
      <xdr:col>4</xdr:col>
      <xdr:colOff>1796644</xdr:colOff>
      <xdr:row>108</xdr:row>
      <xdr:rowOff>941174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9C982034-0D81-4BF5-9975-A11D9BCB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8721" y="86455386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1822173</xdr:colOff>
      <xdr:row>108</xdr:row>
      <xdr:rowOff>331303</xdr:rowOff>
    </xdr:from>
    <xdr:to>
      <xdr:col>4</xdr:col>
      <xdr:colOff>2397674</xdr:colOff>
      <xdr:row>108</xdr:row>
      <xdr:rowOff>972576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4F0D8895-FBB7-4341-9AE1-C021B57C5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698" y="86427778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2443369</xdr:colOff>
      <xdr:row>108</xdr:row>
      <xdr:rowOff>331303</xdr:rowOff>
    </xdr:from>
    <xdr:to>
      <xdr:col>4</xdr:col>
      <xdr:colOff>2988433</xdr:colOff>
      <xdr:row>108</xdr:row>
      <xdr:rowOff>957298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60935425-2C50-40D2-A310-922D1A76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894" y="86427778"/>
          <a:ext cx="545064" cy="625995"/>
        </a:xfrm>
        <a:prstGeom prst="rect">
          <a:avLst/>
        </a:prstGeom>
      </xdr:spPr>
    </xdr:pic>
    <xdr:clientData/>
  </xdr:twoCellAnchor>
  <xdr:oneCellAnchor>
    <xdr:from>
      <xdr:col>4</xdr:col>
      <xdr:colOff>41414</xdr:colOff>
      <xdr:row>110</xdr:row>
      <xdr:rowOff>110434</xdr:rowOff>
    </xdr:from>
    <xdr:ext cx="555102" cy="603923"/>
    <xdr:pic>
      <xdr:nvPicPr>
        <xdr:cNvPr id="923" name="Picture 922">
          <a:extLst>
            <a:ext uri="{FF2B5EF4-FFF2-40B4-BE49-F238E27FC236}">
              <a16:creationId xmlns:a16="http://schemas.microsoft.com/office/drawing/2014/main" id="{DD9F48B8-C088-40CF-8035-D8BF1B0D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8388134"/>
          <a:ext cx="555102" cy="603923"/>
        </a:xfrm>
        <a:prstGeom prst="rect">
          <a:avLst/>
        </a:prstGeom>
      </xdr:spPr>
    </xdr:pic>
    <xdr:clientData/>
  </xdr:oneCellAnchor>
  <xdr:oneCellAnchor>
    <xdr:from>
      <xdr:col>4</xdr:col>
      <xdr:colOff>635000</xdr:colOff>
      <xdr:row>110</xdr:row>
      <xdr:rowOff>110434</xdr:rowOff>
    </xdr:from>
    <xdr:ext cx="540448" cy="582263"/>
    <xdr:pic>
      <xdr:nvPicPr>
        <xdr:cNvPr id="924" name="Picture 923">
          <a:extLst>
            <a:ext uri="{FF2B5EF4-FFF2-40B4-BE49-F238E27FC236}">
              <a16:creationId xmlns:a16="http://schemas.microsoft.com/office/drawing/2014/main" id="{71DFE767-88C7-4800-868C-6F18CFB8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8388134"/>
          <a:ext cx="540448" cy="582263"/>
        </a:xfrm>
        <a:prstGeom prst="rect">
          <a:avLst/>
        </a:prstGeom>
      </xdr:spPr>
    </xdr:pic>
    <xdr:clientData/>
  </xdr:oneCellAnchor>
  <xdr:oneCellAnchor>
    <xdr:from>
      <xdr:col>4</xdr:col>
      <xdr:colOff>1214782</xdr:colOff>
      <xdr:row>110</xdr:row>
      <xdr:rowOff>96630</xdr:rowOff>
    </xdr:from>
    <xdr:ext cx="575501" cy="641273"/>
    <xdr:pic>
      <xdr:nvPicPr>
        <xdr:cNvPr id="925" name="Picture 924">
          <a:extLst>
            <a:ext uri="{FF2B5EF4-FFF2-40B4-BE49-F238E27FC236}">
              <a16:creationId xmlns:a16="http://schemas.microsoft.com/office/drawing/2014/main" id="{11654396-736B-4E4D-9027-616FF7B41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8374330"/>
          <a:ext cx="575501" cy="641273"/>
        </a:xfrm>
        <a:prstGeom prst="rect">
          <a:avLst/>
        </a:prstGeom>
      </xdr:spPr>
    </xdr:pic>
    <xdr:clientData/>
  </xdr:oneCellAnchor>
  <xdr:oneCellAnchor>
    <xdr:from>
      <xdr:col>4</xdr:col>
      <xdr:colOff>1835978</xdr:colOff>
      <xdr:row>110</xdr:row>
      <xdr:rowOff>110434</xdr:rowOff>
    </xdr:from>
    <xdr:ext cx="545064" cy="625995"/>
    <xdr:pic>
      <xdr:nvPicPr>
        <xdr:cNvPr id="926" name="Picture 925">
          <a:extLst>
            <a:ext uri="{FF2B5EF4-FFF2-40B4-BE49-F238E27FC236}">
              <a16:creationId xmlns:a16="http://schemas.microsoft.com/office/drawing/2014/main" id="{454F1171-D99B-4EC6-815D-CF6F0DAD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8388134"/>
          <a:ext cx="545064" cy="625995"/>
        </a:xfrm>
        <a:prstGeom prst="rect">
          <a:avLst/>
        </a:prstGeom>
      </xdr:spPr>
    </xdr:pic>
    <xdr:clientData/>
  </xdr:oneCellAnchor>
  <xdr:twoCellAnchor editAs="oneCell">
    <xdr:from>
      <xdr:col>4</xdr:col>
      <xdr:colOff>41414</xdr:colOff>
      <xdr:row>111</xdr:row>
      <xdr:rowOff>110434</xdr:rowOff>
    </xdr:from>
    <xdr:to>
      <xdr:col>4</xdr:col>
      <xdr:colOff>596516</xdr:colOff>
      <xdr:row>111</xdr:row>
      <xdr:rowOff>714357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4A54B7D5-2C3C-485A-B746-8D1A27463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89226334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111</xdr:row>
      <xdr:rowOff>110434</xdr:rowOff>
    </xdr:from>
    <xdr:to>
      <xdr:col>4</xdr:col>
      <xdr:colOff>1175448</xdr:colOff>
      <xdr:row>111</xdr:row>
      <xdr:rowOff>692697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0F289AF0-1AD3-4102-9977-0E954F3F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89226334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111</xdr:row>
      <xdr:rowOff>96630</xdr:rowOff>
    </xdr:from>
    <xdr:to>
      <xdr:col>4</xdr:col>
      <xdr:colOff>1790283</xdr:colOff>
      <xdr:row>111</xdr:row>
      <xdr:rowOff>737903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BDD2F711-E149-481A-8E8A-ACCD3145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89212530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111</xdr:row>
      <xdr:rowOff>110434</xdr:rowOff>
    </xdr:from>
    <xdr:to>
      <xdr:col>4</xdr:col>
      <xdr:colOff>2381042</xdr:colOff>
      <xdr:row>111</xdr:row>
      <xdr:rowOff>736429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EF1A81E9-6299-4966-B2E1-89716888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89226334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41414</xdr:colOff>
      <xdr:row>112</xdr:row>
      <xdr:rowOff>110434</xdr:rowOff>
    </xdr:from>
    <xdr:to>
      <xdr:col>4</xdr:col>
      <xdr:colOff>596516</xdr:colOff>
      <xdr:row>112</xdr:row>
      <xdr:rowOff>714357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33E27E2E-DD6C-467A-BDB0-63423AB9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3939" y="90131209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112</xdr:row>
      <xdr:rowOff>110434</xdr:rowOff>
    </xdr:from>
    <xdr:to>
      <xdr:col>4</xdr:col>
      <xdr:colOff>1175448</xdr:colOff>
      <xdr:row>112</xdr:row>
      <xdr:rowOff>692697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2C097444-2577-414B-BAF2-981FE9A1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90131209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1214782</xdr:colOff>
      <xdr:row>112</xdr:row>
      <xdr:rowOff>96630</xdr:rowOff>
    </xdr:from>
    <xdr:to>
      <xdr:col>4</xdr:col>
      <xdr:colOff>1790283</xdr:colOff>
      <xdr:row>112</xdr:row>
      <xdr:rowOff>737903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55738E8C-0068-45D0-B609-9FBEBA41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307" y="90117405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112</xdr:row>
      <xdr:rowOff>110434</xdr:rowOff>
    </xdr:from>
    <xdr:to>
      <xdr:col>4</xdr:col>
      <xdr:colOff>2381042</xdr:colOff>
      <xdr:row>112</xdr:row>
      <xdr:rowOff>736429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332FF247-0B7A-419E-84C8-B3C66294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90131209"/>
          <a:ext cx="545064" cy="625995"/>
        </a:xfrm>
        <a:prstGeom prst="rect">
          <a:avLst/>
        </a:prstGeom>
      </xdr:spPr>
    </xdr:pic>
    <xdr:clientData/>
  </xdr:twoCellAnchor>
  <xdr:twoCellAnchor editAs="oneCell">
    <xdr:from>
      <xdr:col>4</xdr:col>
      <xdr:colOff>27609</xdr:colOff>
      <xdr:row>113</xdr:row>
      <xdr:rowOff>220869</xdr:rowOff>
    </xdr:from>
    <xdr:to>
      <xdr:col>4</xdr:col>
      <xdr:colOff>582711</xdr:colOff>
      <xdr:row>113</xdr:row>
      <xdr:rowOff>828751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F297EF51-A416-4C93-BCFC-5E8EA45F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0134" y="91127469"/>
          <a:ext cx="555102" cy="60788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113</xdr:row>
      <xdr:rowOff>234673</xdr:rowOff>
    </xdr:from>
    <xdr:to>
      <xdr:col>4</xdr:col>
      <xdr:colOff>1175448</xdr:colOff>
      <xdr:row>113</xdr:row>
      <xdr:rowOff>820895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17F0AF99-9BE3-47F8-B78E-6ACBBAF6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91141273"/>
          <a:ext cx="540448" cy="586222"/>
        </a:xfrm>
        <a:prstGeom prst="rect">
          <a:avLst/>
        </a:prstGeom>
      </xdr:spPr>
    </xdr:pic>
    <xdr:clientData/>
  </xdr:twoCellAnchor>
  <xdr:twoCellAnchor editAs="oneCell">
    <xdr:from>
      <xdr:col>4</xdr:col>
      <xdr:colOff>1228587</xdr:colOff>
      <xdr:row>113</xdr:row>
      <xdr:rowOff>220870</xdr:rowOff>
    </xdr:from>
    <xdr:to>
      <xdr:col>4</xdr:col>
      <xdr:colOff>1804088</xdr:colOff>
      <xdr:row>113</xdr:row>
      <xdr:rowOff>866102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DF8BB9FA-B44B-4C31-8045-B14C183D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112" y="91127470"/>
          <a:ext cx="575501" cy="645232"/>
        </a:xfrm>
        <a:prstGeom prst="rect">
          <a:avLst/>
        </a:prstGeom>
      </xdr:spPr>
    </xdr:pic>
    <xdr:clientData/>
  </xdr:twoCellAnchor>
  <xdr:twoCellAnchor editAs="oneCell">
    <xdr:from>
      <xdr:col>4</xdr:col>
      <xdr:colOff>1877391</xdr:colOff>
      <xdr:row>113</xdr:row>
      <xdr:rowOff>234674</xdr:rowOff>
    </xdr:from>
    <xdr:to>
      <xdr:col>4</xdr:col>
      <xdr:colOff>2422455</xdr:colOff>
      <xdr:row>113</xdr:row>
      <xdr:rowOff>864628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184A1564-0B76-48BF-913D-FFF351C1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916" y="91141274"/>
          <a:ext cx="545064" cy="629954"/>
        </a:xfrm>
        <a:prstGeom prst="rect">
          <a:avLst/>
        </a:prstGeom>
      </xdr:spPr>
    </xdr:pic>
    <xdr:clientData/>
  </xdr:twoCellAnchor>
  <xdr:twoCellAnchor editAs="oneCell">
    <xdr:from>
      <xdr:col>4</xdr:col>
      <xdr:colOff>27609</xdr:colOff>
      <xdr:row>114</xdr:row>
      <xdr:rowOff>496956</xdr:rowOff>
    </xdr:from>
    <xdr:to>
      <xdr:col>4</xdr:col>
      <xdr:colOff>582711</xdr:colOff>
      <xdr:row>114</xdr:row>
      <xdr:rowOff>1098781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54034629-6A60-4F83-B342-6872F2AD4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0134" y="92365581"/>
          <a:ext cx="555102" cy="603923"/>
        </a:xfrm>
        <a:prstGeom prst="rect">
          <a:avLst/>
        </a:prstGeom>
      </xdr:spPr>
    </xdr:pic>
    <xdr:clientData/>
  </xdr:twoCellAnchor>
  <xdr:twoCellAnchor editAs="oneCell">
    <xdr:from>
      <xdr:col>4</xdr:col>
      <xdr:colOff>621196</xdr:colOff>
      <xdr:row>114</xdr:row>
      <xdr:rowOff>496955</xdr:rowOff>
    </xdr:from>
    <xdr:to>
      <xdr:col>4</xdr:col>
      <xdr:colOff>1161644</xdr:colOff>
      <xdr:row>114</xdr:row>
      <xdr:rowOff>1077120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BE5DA75C-72E4-4F3F-B2D6-EDF94D98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92365580"/>
          <a:ext cx="540448" cy="582263"/>
        </a:xfrm>
        <a:prstGeom prst="rect">
          <a:avLst/>
        </a:prstGeom>
      </xdr:spPr>
    </xdr:pic>
    <xdr:clientData/>
  </xdr:twoCellAnchor>
  <xdr:twoCellAnchor editAs="oneCell">
    <xdr:from>
      <xdr:col>4</xdr:col>
      <xdr:colOff>1200978</xdr:colOff>
      <xdr:row>114</xdr:row>
      <xdr:rowOff>469348</xdr:rowOff>
    </xdr:from>
    <xdr:to>
      <xdr:col>4</xdr:col>
      <xdr:colOff>1776479</xdr:colOff>
      <xdr:row>114</xdr:row>
      <xdr:rowOff>1108523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78260268-7DD0-4D62-B2F4-70E8A041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503" y="92337973"/>
          <a:ext cx="575501" cy="641273"/>
        </a:xfrm>
        <a:prstGeom prst="rect">
          <a:avLst/>
        </a:prstGeom>
      </xdr:spPr>
    </xdr:pic>
    <xdr:clientData/>
  </xdr:twoCellAnchor>
  <xdr:twoCellAnchor editAs="oneCell">
    <xdr:from>
      <xdr:col>4</xdr:col>
      <xdr:colOff>1822174</xdr:colOff>
      <xdr:row>114</xdr:row>
      <xdr:rowOff>483152</xdr:rowOff>
    </xdr:from>
    <xdr:to>
      <xdr:col>4</xdr:col>
      <xdr:colOff>2367238</xdr:colOff>
      <xdr:row>114</xdr:row>
      <xdr:rowOff>1107049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53C94D65-90AE-4A6D-B17B-E8232080A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699" y="92351777"/>
          <a:ext cx="545064" cy="625995"/>
        </a:xfrm>
        <a:prstGeom prst="rect">
          <a:avLst/>
        </a:prstGeom>
      </xdr:spPr>
    </xdr:pic>
    <xdr:clientData/>
  </xdr:twoCellAnchor>
  <xdr:oneCellAnchor>
    <xdr:from>
      <xdr:col>4</xdr:col>
      <xdr:colOff>39979</xdr:colOff>
      <xdr:row>116</xdr:row>
      <xdr:rowOff>109539</xdr:rowOff>
    </xdr:from>
    <xdr:ext cx="555102" cy="607882"/>
    <xdr:pic>
      <xdr:nvPicPr>
        <xdr:cNvPr id="943" name="Picture 942">
          <a:extLst>
            <a:ext uri="{FF2B5EF4-FFF2-40B4-BE49-F238E27FC236}">
              <a16:creationId xmlns:a16="http://schemas.microsoft.com/office/drawing/2014/main" id="{925F4483-30CE-495F-962C-E8A26F00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504" y="94064139"/>
          <a:ext cx="555102" cy="607882"/>
        </a:xfrm>
        <a:prstGeom prst="rect">
          <a:avLst/>
        </a:prstGeom>
      </xdr:spPr>
    </xdr:pic>
    <xdr:clientData/>
  </xdr:oneCellAnchor>
  <xdr:oneCellAnchor>
    <xdr:from>
      <xdr:col>4</xdr:col>
      <xdr:colOff>635000</xdr:colOff>
      <xdr:row>116</xdr:row>
      <xdr:rowOff>123343</xdr:rowOff>
    </xdr:from>
    <xdr:ext cx="540448" cy="586222"/>
    <xdr:pic>
      <xdr:nvPicPr>
        <xdr:cNvPr id="944" name="Picture 943">
          <a:extLst>
            <a:ext uri="{FF2B5EF4-FFF2-40B4-BE49-F238E27FC236}">
              <a16:creationId xmlns:a16="http://schemas.microsoft.com/office/drawing/2014/main" id="{683D60A3-C18D-4FEB-94E4-D46D3B9A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94077943"/>
          <a:ext cx="540448" cy="586222"/>
        </a:xfrm>
        <a:prstGeom prst="rect">
          <a:avLst/>
        </a:prstGeom>
      </xdr:spPr>
    </xdr:pic>
    <xdr:clientData/>
  </xdr:oneCellAnchor>
  <xdr:oneCellAnchor>
    <xdr:from>
      <xdr:col>4</xdr:col>
      <xdr:colOff>1228587</xdr:colOff>
      <xdr:row>116</xdr:row>
      <xdr:rowOff>84800</xdr:rowOff>
    </xdr:from>
    <xdr:ext cx="575501" cy="645232"/>
    <xdr:pic>
      <xdr:nvPicPr>
        <xdr:cNvPr id="945" name="Picture 944">
          <a:extLst>
            <a:ext uri="{FF2B5EF4-FFF2-40B4-BE49-F238E27FC236}">
              <a16:creationId xmlns:a16="http://schemas.microsoft.com/office/drawing/2014/main" id="{15294B07-E13E-4187-90D9-D512D6A4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112" y="94039400"/>
          <a:ext cx="575501" cy="645232"/>
        </a:xfrm>
        <a:prstGeom prst="rect">
          <a:avLst/>
        </a:prstGeom>
      </xdr:spPr>
    </xdr:pic>
    <xdr:clientData/>
  </xdr:oneCellAnchor>
  <xdr:oneCellAnchor>
    <xdr:from>
      <xdr:col>4</xdr:col>
      <xdr:colOff>1877391</xdr:colOff>
      <xdr:row>116</xdr:row>
      <xdr:rowOff>98604</xdr:rowOff>
    </xdr:from>
    <xdr:ext cx="545064" cy="629954"/>
    <xdr:pic>
      <xdr:nvPicPr>
        <xdr:cNvPr id="946" name="Picture 945">
          <a:extLst>
            <a:ext uri="{FF2B5EF4-FFF2-40B4-BE49-F238E27FC236}">
              <a16:creationId xmlns:a16="http://schemas.microsoft.com/office/drawing/2014/main" id="{D7C0DE5F-4F7D-4F8B-B90B-0E02E54B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916" y="94053204"/>
          <a:ext cx="545064" cy="629954"/>
        </a:xfrm>
        <a:prstGeom prst="rect">
          <a:avLst/>
        </a:prstGeom>
      </xdr:spPr>
    </xdr:pic>
    <xdr:clientData/>
  </xdr:oneCellAnchor>
  <xdr:twoCellAnchor editAs="oneCell">
    <xdr:from>
      <xdr:col>4</xdr:col>
      <xdr:colOff>74220</xdr:colOff>
      <xdr:row>115</xdr:row>
      <xdr:rowOff>74220</xdr:rowOff>
    </xdr:from>
    <xdr:to>
      <xdr:col>4</xdr:col>
      <xdr:colOff>619284</xdr:colOff>
      <xdr:row>115</xdr:row>
      <xdr:rowOff>700215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52C02648-FE85-44D4-BC29-669DAF606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745" y="93228720"/>
          <a:ext cx="545064" cy="625995"/>
        </a:xfrm>
        <a:prstGeom prst="rect">
          <a:avLst/>
        </a:prstGeom>
      </xdr:spPr>
    </xdr:pic>
    <xdr:clientData/>
  </xdr:twoCellAnchor>
  <xdr:oneCellAnchor>
    <xdr:from>
      <xdr:col>4</xdr:col>
      <xdr:colOff>692730</xdr:colOff>
      <xdr:row>117</xdr:row>
      <xdr:rowOff>160810</xdr:rowOff>
    </xdr:from>
    <xdr:ext cx="545064" cy="629954"/>
    <xdr:pic>
      <xdr:nvPicPr>
        <xdr:cNvPr id="948" name="Picture 947">
          <a:extLst>
            <a:ext uri="{FF2B5EF4-FFF2-40B4-BE49-F238E27FC236}">
              <a16:creationId xmlns:a16="http://schemas.microsoft.com/office/drawing/2014/main" id="{40241F64-B1FD-4DCA-8E5E-ADF77BC4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255" y="94915510"/>
          <a:ext cx="545064" cy="629954"/>
        </a:xfrm>
        <a:prstGeom prst="rect">
          <a:avLst/>
        </a:prstGeom>
      </xdr:spPr>
    </xdr:pic>
    <xdr:clientData/>
  </xdr:oneCellAnchor>
  <xdr:twoCellAnchor editAs="oneCell">
    <xdr:from>
      <xdr:col>4</xdr:col>
      <xdr:colOff>49480</xdr:colOff>
      <xdr:row>117</xdr:row>
      <xdr:rowOff>136070</xdr:rowOff>
    </xdr:from>
    <xdr:to>
      <xdr:col>4</xdr:col>
      <xdr:colOff>628476</xdr:colOff>
      <xdr:row>117</xdr:row>
      <xdr:rowOff>828798</xdr:rowOff>
    </xdr:to>
    <xdr:pic>
      <xdr:nvPicPr>
        <xdr:cNvPr id="949" name="Picture 948" descr="SDGs Tujuan 5 – Kesetaraan Gender (Gender Equality) – Badan ...">
          <a:extLst>
            <a:ext uri="{FF2B5EF4-FFF2-40B4-BE49-F238E27FC236}">
              <a16:creationId xmlns:a16="http://schemas.microsoft.com/office/drawing/2014/main" id="{C4D37EAB-7C4D-4056-9DF6-0C59A96B8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005" y="94890770"/>
          <a:ext cx="578996" cy="69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39979</xdr:colOff>
      <xdr:row>118</xdr:row>
      <xdr:rowOff>109539</xdr:rowOff>
    </xdr:from>
    <xdr:ext cx="555102" cy="607882"/>
    <xdr:pic>
      <xdr:nvPicPr>
        <xdr:cNvPr id="950" name="Picture 949">
          <a:extLst>
            <a:ext uri="{FF2B5EF4-FFF2-40B4-BE49-F238E27FC236}">
              <a16:creationId xmlns:a16="http://schemas.microsoft.com/office/drawing/2014/main" id="{E9E6CB09-291B-4774-AAE5-6371E037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504" y="95835789"/>
          <a:ext cx="555102" cy="607882"/>
        </a:xfrm>
        <a:prstGeom prst="rect">
          <a:avLst/>
        </a:prstGeom>
      </xdr:spPr>
    </xdr:pic>
    <xdr:clientData/>
  </xdr:oneCellAnchor>
  <xdr:oneCellAnchor>
    <xdr:from>
      <xdr:col>4</xdr:col>
      <xdr:colOff>635000</xdr:colOff>
      <xdr:row>118</xdr:row>
      <xdr:rowOff>123343</xdr:rowOff>
    </xdr:from>
    <xdr:ext cx="540448" cy="586222"/>
    <xdr:pic>
      <xdr:nvPicPr>
        <xdr:cNvPr id="951" name="Picture 950">
          <a:extLst>
            <a:ext uri="{FF2B5EF4-FFF2-40B4-BE49-F238E27FC236}">
              <a16:creationId xmlns:a16="http://schemas.microsoft.com/office/drawing/2014/main" id="{481D2BD0-55C9-4140-A592-CADAD8C9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95849593"/>
          <a:ext cx="540448" cy="586222"/>
        </a:xfrm>
        <a:prstGeom prst="rect">
          <a:avLst/>
        </a:prstGeom>
      </xdr:spPr>
    </xdr:pic>
    <xdr:clientData/>
  </xdr:oneCellAnchor>
  <xdr:oneCellAnchor>
    <xdr:from>
      <xdr:col>4</xdr:col>
      <xdr:colOff>1228587</xdr:colOff>
      <xdr:row>118</xdr:row>
      <xdr:rowOff>84800</xdr:rowOff>
    </xdr:from>
    <xdr:ext cx="575501" cy="645232"/>
    <xdr:pic>
      <xdr:nvPicPr>
        <xdr:cNvPr id="952" name="Picture 951">
          <a:extLst>
            <a:ext uri="{FF2B5EF4-FFF2-40B4-BE49-F238E27FC236}">
              <a16:creationId xmlns:a16="http://schemas.microsoft.com/office/drawing/2014/main" id="{62762746-A890-41E8-B99A-C169B4A84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112" y="95811050"/>
          <a:ext cx="575501" cy="645232"/>
        </a:xfrm>
        <a:prstGeom prst="rect">
          <a:avLst/>
        </a:prstGeom>
      </xdr:spPr>
    </xdr:pic>
    <xdr:clientData/>
  </xdr:oneCellAnchor>
  <xdr:oneCellAnchor>
    <xdr:from>
      <xdr:col>4</xdr:col>
      <xdr:colOff>1877391</xdr:colOff>
      <xdr:row>118</xdr:row>
      <xdr:rowOff>98604</xdr:rowOff>
    </xdr:from>
    <xdr:ext cx="545064" cy="629954"/>
    <xdr:pic>
      <xdr:nvPicPr>
        <xdr:cNvPr id="953" name="Picture 952">
          <a:extLst>
            <a:ext uri="{FF2B5EF4-FFF2-40B4-BE49-F238E27FC236}">
              <a16:creationId xmlns:a16="http://schemas.microsoft.com/office/drawing/2014/main" id="{C9BCE71F-9923-42EE-ADB8-22B733DF8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916" y="95824854"/>
          <a:ext cx="545064" cy="629954"/>
        </a:xfrm>
        <a:prstGeom prst="rect">
          <a:avLst/>
        </a:prstGeom>
      </xdr:spPr>
    </xdr:pic>
    <xdr:clientData/>
  </xdr:oneCellAnchor>
  <xdr:oneCellAnchor>
    <xdr:from>
      <xdr:col>4</xdr:col>
      <xdr:colOff>39979</xdr:colOff>
      <xdr:row>119</xdr:row>
      <xdr:rowOff>109539</xdr:rowOff>
    </xdr:from>
    <xdr:ext cx="555102" cy="607882"/>
    <xdr:pic>
      <xdr:nvPicPr>
        <xdr:cNvPr id="954" name="Picture 953">
          <a:extLst>
            <a:ext uri="{FF2B5EF4-FFF2-40B4-BE49-F238E27FC236}">
              <a16:creationId xmlns:a16="http://schemas.microsoft.com/office/drawing/2014/main" id="{E55A6DC0-E779-4F80-A210-CE647057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504" y="96635889"/>
          <a:ext cx="555102" cy="607882"/>
        </a:xfrm>
        <a:prstGeom prst="rect">
          <a:avLst/>
        </a:prstGeom>
      </xdr:spPr>
    </xdr:pic>
    <xdr:clientData/>
  </xdr:oneCellAnchor>
  <xdr:oneCellAnchor>
    <xdr:from>
      <xdr:col>4</xdr:col>
      <xdr:colOff>635000</xdr:colOff>
      <xdr:row>119</xdr:row>
      <xdr:rowOff>123343</xdr:rowOff>
    </xdr:from>
    <xdr:ext cx="540448" cy="586222"/>
    <xdr:pic>
      <xdr:nvPicPr>
        <xdr:cNvPr id="955" name="Picture 954">
          <a:extLst>
            <a:ext uri="{FF2B5EF4-FFF2-40B4-BE49-F238E27FC236}">
              <a16:creationId xmlns:a16="http://schemas.microsoft.com/office/drawing/2014/main" id="{CE1E6CDB-8B52-4145-8451-7291B93C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525" y="96649693"/>
          <a:ext cx="540448" cy="586222"/>
        </a:xfrm>
        <a:prstGeom prst="rect">
          <a:avLst/>
        </a:prstGeom>
      </xdr:spPr>
    </xdr:pic>
    <xdr:clientData/>
  </xdr:oneCellAnchor>
  <xdr:oneCellAnchor>
    <xdr:from>
      <xdr:col>4</xdr:col>
      <xdr:colOff>1228587</xdr:colOff>
      <xdr:row>119</xdr:row>
      <xdr:rowOff>84800</xdr:rowOff>
    </xdr:from>
    <xdr:ext cx="575501" cy="645232"/>
    <xdr:pic>
      <xdr:nvPicPr>
        <xdr:cNvPr id="956" name="Picture 955">
          <a:extLst>
            <a:ext uri="{FF2B5EF4-FFF2-40B4-BE49-F238E27FC236}">
              <a16:creationId xmlns:a16="http://schemas.microsoft.com/office/drawing/2014/main" id="{F7B43246-6D94-4607-93F5-3DB5F4B18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112" y="96611150"/>
          <a:ext cx="575501" cy="645232"/>
        </a:xfrm>
        <a:prstGeom prst="rect">
          <a:avLst/>
        </a:prstGeom>
      </xdr:spPr>
    </xdr:pic>
    <xdr:clientData/>
  </xdr:oneCellAnchor>
  <xdr:oneCellAnchor>
    <xdr:from>
      <xdr:col>4</xdr:col>
      <xdr:colOff>1877391</xdr:colOff>
      <xdr:row>119</xdr:row>
      <xdr:rowOff>98604</xdr:rowOff>
    </xdr:from>
    <xdr:ext cx="545064" cy="629954"/>
    <xdr:pic>
      <xdr:nvPicPr>
        <xdr:cNvPr id="957" name="Picture 956">
          <a:extLst>
            <a:ext uri="{FF2B5EF4-FFF2-40B4-BE49-F238E27FC236}">
              <a16:creationId xmlns:a16="http://schemas.microsoft.com/office/drawing/2014/main" id="{627B6B02-E87E-484C-A177-E72E6387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916" y="96624954"/>
          <a:ext cx="545064" cy="629954"/>
        </a:xfrm>
        <a:prstGeom prst="rect">
          <a:avLst/>
        </a:prstGeom>
      </xdr:spPr>
    </xdr:pic>
    <xdr:clientData/>
  </xdr:oneCellAnchor>
  <xdr:twoCellAnchor editAs="oneCell">
    <xdr:from>
      <xdr:col>4</xdr:col>
      <xdr:colOff>2464448</xdr:colOff>
      <xdr:row>124</xdr:row>
      <xdr:rowOff>85662</xdr:rowOff>
    </xdr:from>
    <xdr:to>
      <xdr:col>4</xdr:col>
      <xdr:colOff>3009512</xdr:colOff>
      <xdr:row>124</xdr:row>
      <xdr:rowOff>744191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id="{3E075EE5-1511-4F36-A547-B9E253D24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0412487"/>
          <a:ext cx="545064" cy="658529"/>
        </a:xfrm>
        <a:prstGeom prst="rect">
          <a:avLst/>
        </a:prstGeom>
      </xdr:spPr>
    </xdr:pic>
    <xdr:clientData/>
  </xdr:twoCellAnchor>
  <xdr:twoCellAnchor editAs="oneCell">
    <xdr:from>
      <xdr:col>4</xdr:col>
      <xdr:colOff>55218</xdr:colOff>
      <xdr:row>124</xdr:row>
      <xdr:rowOff>85878</xdr:rowOff>
    </xdr:from>
    <xdr:to>
      <xdr:col>4</xdr:col>
      <xdr:colOff>615339</xdr:colOff>
      <xdr:row>124</xdr:row>
      <xdr:rowOff>737659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id="{A0ED0F02-043A-4D38-B725-F37A8AF5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0412703"/>
          <a:ext cx="560121" cy="651781"/>
        </a:xfrm>
        <a:prstGeom prst="rect">
          <a:avLst/>
        </a:prstGeom>
      </xdr:spPr>
    </xdr:pic>
    <xdr:clientData/>
  </xdr:twoCellAnchor>
  <xdr:twoCellAnchor editAs="oneCell">
    <xdr:from>
      <xdr:col>4</xdr:col>
      <xdr:colOff>648804</xdr:colOff>
      <xdr:row>124</xdr:row>
      <xdr:rowOff>72072</xdr:rowOff>
    </xdr:from>
    <xdr:to>
      <xdr:col>4</xdr:col>
      <xdr:colOff>1200633</xdr:colOff>
      <xdr:row>124</xdr:row>
      <xdr:rowOff>752088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2BD0829A-A12A-4688-AFD4-151CE7373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0398897"/>
          <a:ext cx="551829" cy="680016"/>
        </a:xfrm>
        <a:prstGeom prst="rect">
          <a:avLst/>
        </a:prstGeom>
      </xdr:spPr>
    </xdr:pic>
    <xdr:clientData/>
  </xdr:twoCellAnchor>
  <xdr:twoCellAnchor editAs="oneCell">
    <xdr:from>
      <xdr:col>4</xdr:col>
      <xdr:colOff>1242391</xdr:colOff>
      <xdr:row>124</xdr:row>
      <xdr:rowOff>32096</xdr:rowOff>
    </xdr:from>
    <xdr:to>
      <xdr:col>4</xdr:col>
      <xdr:colOff>1782839</xdr:colOff>
      <xdr:row>124</xdr:row>
      <xdr:rowOff>742557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0AEBB472-8841-46AD-9EA8-8F9FCC15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0358921"/>
          <a:ext cx="540448" cy="710461"/>
        </a:xfrm>
        <a:prstGeom prst="rect">
          <a:avLst/>
        </a:prstGeom>
      </xdr:spPr>
    </xdr:pic>
    <xdr:clientData/>
  </xdr:twoCellAnchor>
  <xdr:twoCellAnchor editAs="oneCell">
    <xdr:from>
      <xdr:col>4</xdr:col>
      <xdr:colOff>1808369</xdr:colOff>
      <xdr:row>124</xdr:row>
      <xdr:rowOff>70639</xdr:rowOff>
    </xdr:from>
    <xdr:to>
      <xdr:col>4</xdr:col>
      <xdr:colOff>2394811</xdr:colOff>
      <xdr:row>124</xdr:row>
      <xdr:rowOff>746676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D8BD0A25-C71C-4490-B4FA-3522BF223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0397464"/>
          <a:ext cx="586442" cy="676037"/>
        </a:xfrm>
        <a:prstGeom prst="rect">
          <a:avLst/>
        </a:prstGeom>
      </xdr:spPr>
    </xdr:pic>
    <xdr:clientData/>
  </xdr:twoCellAnchor>
  <xdr:oneCellAnchor>
    <xdr:from>
      <xdr:col>4</xdr:col>
      <xdr:colOff>2464448</xdr:colOff>
      <xdr:row>125</xdr:row>
      <xdr:rowOff>85662</xdr:rowOff>
    </xdr:from>
    <xdr:ext cx="545064" cy="658529"/>
    <xdr:pic>
      <xdr:nvPicPr>
        <xdr:cNvPr id="1011" name="Picture 1010">
          <a:extLst>
            <a:ext uri="{FF2B5EF4-FFF2-40B4-BE49-F238E27FC236}">
              <a16:creationId xmlns:a16="http://schemas.microsoft.com/office/drawing/2014/main" id="{523861A8-2472-4141-B833-EC233491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1212587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125</xdr:row>
      <xdr:rowOff>85878</xdr:rowOff>
    </xdr:from>
    <xdr:ext cx="560121" cy="651781"/>
    <xdr:pic>
      <xdr:nvPicPr>
        <xdr:cNvPr id="1012" name="Picture 1011">
          <a:extLst>
            <a:ext uri="{FF2B5EF4-FFF2-40B4-BE49-F238E27FC236}">
              <a16:creationId xmlns:a16="http://schemas.microsoft.com/office/drawing/2014/main" id="{DE139EC5-5019-456D-97CE-1CF0B282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1212803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125</xdr:row>
      <xdr:rowOff>72072</xdr:rowOff>
    </xdr:from>
    <xdr:ext cx="551829" cy="680016"/>
    <xdr:pic>
      <xdr:nvPicPr>
        <xdr:cNvPr id="1013" name="Picture 1012">
          <a:extLst>
            <a:ext uri="{FF2B5EF4-FFF2-40B4-BE49-F238E27FC236}">
              <a16:creationId xmlns:a16="http://schemas.microsoft.com/office/drawing/2014/main" id="{0CFE5FAC-F7CA-4831-AD1E-6C4E2249F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1198997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125</xdr:row>
      <xdr:rowOff>32096</xdr:rowOff>
    </xdr:from>
    <xdr:ext cx="540448" cy="710461"/>
    <xdr:pic>
      <xdr:nvPicPr>
        <xdr:cNvPr id="1014" name="Picture 1013">
          <a:extLst>
            <a:ext uri="{FF2B5EF4-FFF2-40B4-BE49-F238E27FC236}">
              <a16:creationId xmlns:a16="http://schemas.microsoft.com/office/drawing/2014/main" id="{8E69E070-213E-4871-98CA-25C6C12E1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1159021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125</xdr:row>
      <xdr:rowOff>86002</xdr:rowOff>
    </xdr:from>
    <xdr:ext cx="586442" cy="676037"/>
    <xdr:pic>
      <xdr:nvPicPr>
        <xdr:cNvPr id="1015" name="Picture 1014">
          <a:extLst>
            <a:ext uri="{FF2B5EF4-FFF2-40B4-BE49-F238E27FC236}">
              <a16:creationId xmlns:a16="http://schemas.microsoft.com/office/drawing/2014/main" id="{A2D966A3-A35D-4293-887D-C9C380578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385" y="131838260"/>
          <a:ext cx="586442" cy="676037"/>
        </a:xfrm>
        <a:prstGeom prst="rect">
          <a:avLst/>
        </a:prstGeom>
      </xdr:spPr>
    </xdr:pic>
    <xdr:clientData/>
  </xdr:oneCellAnchor>
  <xdr:twoCellAnchor editAs="oneCell">
    <xdr:from>
      <xdr:col>4</xdr:col>
      <xdr:colOff>82827</xdr:colOff>
      <xdr:row>127</xdr:row>
      <xdr:rowOff>64006</xdr:rowOff>
    </xdr:from>
    <xdr:to>
      <xdr:col>4</xdr:col>
      <xdr:colOff>642948</xdr:colOff>
      <xdr:row>127</xdr:row>
      <xdr:rowOff>715786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0E99B7CC-C01D-46C1-93BC-9419E672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2" y="102886381"/>
          <a:ext cx="560121" cy="651780"/>
        </a:xfrm>
        <a:prstGeom prst="rect">
          <a:avLst/>
        </a:prstGeom>
      </xdr:spPr>
    </xdr:pic>
    <xdr:clientData/>
  </xdr:twoCellAnchor>
  <xdr:twoCellAnchor editAs="oneCell">
    <xdr:from>
      <xdr:col>4</xdr:col>
      <xdr:colOff>690217</xdr:colOff>
      <xdr:row>127</xdr:row>
      <xdr:rowOff>76377</xdr:rowOff>
    </xdr:from>
    <xdr:to>
      <xdr:col>4</xdr:col>
      <xdr:colOff>1242046</xdr:colOff>
      <xdr:row>127</xdr:row>
      <xdr:rowOff>756392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id="{2B95B34F-E518-42B9-B30E-78FF3339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2" y="102898752"/>
          <a:ext cx="551829" cy="68001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1270000</xdr:colOff>
      <xdr:row>127</xdr:row>
      <xdr:rowOff>54505</xdr:rowOff>
    </xdr:from>
    <xdr:to>
      <xdr:col>4</xdr:col>
      <xdr:colOff>1810448</xdr:colOff>
      <xdr:row>127</xdr:row>
      <xdr:rowOff>723552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A3E42A65-D960-4F61-8751-8E2CAAAB7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5" y="102876880"/>
          <a:ext cx="540448" cy="669047"/>
        </a:xfrm>
        <a:prstGeom prst="rect">
          <a:avLst/>
        </a:prstGeom>
      </xdr:spPr>
    </xdr:pic>
    <xdr:clientData/>
  </xdr:twoCellAnchor>
  <xdr:twoCellAnchor editAs="oneCell">
    <xdr:from>
      <xdr:col>4</xdr:col>
      <xdr:colOff>1835978</xdr:colOff>
      <xdr:row>127</xdr:row>
      <xdr:rowOff>40701</xdr:rowOff>
    </xdr:from>
    <xdr:to>
      <xdr:col>4</xdr:col>
      <xdr:colOff>2385116</xdr:colOff>
      <xdr:row>127</xdr:row>
      <xdr:rowOff>713902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id="{42E8F80B-F620-4B15-AE39-FCB6F0D4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102863076"/>
          <a:ext cx="549138" cy="673201"/>
        </a:xfrm>
        <a:prstGeom prst="rect">
          <a:avLst/>
        </a:prstGeom>
      </xdr:spPr>
    </xdr:pic>
    <xdr:clientData/>
  </xdr:twoCellAnchor>
  <xdr:twoCellAnchor editAs="oneCell">
    <xdr:from>
      <xdr:col>4</xdr:col>
      <xdr:colOff>2401957</xdr:colOff>
      <xdr:row>127</xdr:row>
      <xdr:rowOff>82113</xdr:rowOff>
    </xdr:from>
    <xdr:to>
      <xdr:col>4</xdr:col>
      <xdr:colOff>2977458</xdr:colOff>
      <xdr:row>127</xdr:row>
      <xdr:rowOff>727344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id="{F44F1DE1-9631-4751-A373-DEC7349E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482" y="102904488"/>
          <a:ext cx="575501" cy="645231"/>
        </a:xfrm>
        <a:prstGeom prst="rect">
          <a:avLst/>
        </a:prstGeom>
      </xdr:spPr>
    </xdr:pic>
    <xdr:clientData/>
  </xdr:twoCellAnchor>
  <xdr:twoCellAnchor editAs="oneCell">
    <xdr:from>
      <xdr:col>4</xdr:col>
      <xdr:colOff>3009347</xdr:colOff>
      <xdr:row>127</xdr:row>
      <xdr:rowOff>62572</xdr:rowOff>
    </xdr:from>
    <xdr:to>
      <xdr:col>4</xdr:col>
      <xdr:colOff>3595789</xdr:colOff>
      <xdr:row>127</xdr:row>
      <xdr:rowOff>738608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B59FFBDE-33A8-485C-AE7F-030FD5F0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872" y="102884947"/>
          <a:ext cx="586442" cy="676036"/>
        </a:xfrm>
        <a:prstGeom prst="rect">
          <a:avLst/>
        </a:prstGeom>
      </xdr:spPr>
    </xdr:pic>
    <xdr:clientData/>
  </xdr:twoCellAnchor>
  <xdr:twoCellAnchor editAs="oneCell">
    <xdr:from>
      <xdr:col>4</xdr:col>
      <xdr:colOff>3650188</xdr:colOff>
      <xdr:row>127</xdr:row>
      <xdr:rowOff>55721</xdr:rowOff>
    </xdr:from>
    <xdr:to>
      <xdr:col>4</xdr:col>
      <xdr:colOff>4188902</xdr:colOff>
      <xdr:row>127</xdr:row>
      <xdr:rowOff>714249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id="{78133A30-7126-4A65-935F-6E9BE696F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713" y="102878096"/>
          <a:ext cx="545064" cy="658528"/>
        </a:xfrm>
        <a:prstGeom prst="rect">
          <a:avLst/>
        </a:prstGeom>
      </xdr:spPr>
    </xdr:pic>
    <xdr:clientData/>
  </xdr:twoCellAnchor>
  <xdr:oneCellAnchor>
    <xdr:from>
      <xdr:col>4</xdr:col>
      <xdr:colOff>82827</xdr:colOff>
      <xdr:row>128</xdr:row>
      <xdr:rowOff>64006</xdr:rowOff>
    </xdr:from>
    <xdr:ext cx="560121" cy="651780"/>
    <xdr:pic>
      <xdr:nvPicPr>
        <xdr:cNvPr id="1023" name="Picture 1022">
          <a:extLst>
            <a:ext uri="{FF2B5EF4-FFF2-40B4-BE49-F238E27FC236}">
              <a16:creationId xmlns:a16="http://schemas.microsoft.com/office/drawing/2014/main" id="{DD7D721B-E7CA-48B9-A641-4668F856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2" y="103686481"/>
          <a:ext cx="560121" cy="651780"/>
        </a:xfrm>
        <a:prstGeom prst="rect">
          <a:avLst/>
        </a:prstGeom>
      </xdr:spPr>
    </xdr:pic>
    <xdr:clientData/>
  </xdr:oneCellAnchor>
  <xdr:oneCellAnchor>
    <xdr:from>
      <xdr:col>4</xdr:col>
      <xdr:colOff>690217</xdr:colOff>
      <xdr:row>128</xdr:row>
      <xdr:rowOff>76377</xdr:rowOff>
    </xdr:from>
    <xdr:ext cx="551829" cy="680015"/>
    <xdr:pic>
      <xdr:nvPicPr>
        <xdr:cNvPr id="1024" name="Picture 1023">
          <a:extLst>
            <a:ext uri="{FF2B5EF4-FFF2-40B4-BE49-F238E27FC236}">
              <a16:creationId xmlns:a16="http://schemas.microsoft.com/office/drawing/2014/main" id="{D427A941-5FB1-4291-A255-16F8774A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2" y="103698852"/>
          <a:ext cx="551829" cy="680015"/>
        </a:xfrm>
        <a:prstGeom prst="rect">
          <a:avLst/>
        </a:prstGeom>
      </xdr:spPr>
    </xdr:pic>
    <xdr:clientData/>
  </xdr:oneCellAnchor>
  <xdr:oneCellAnchor>
    <xdr:from>
      <xdr:col>4</xdr:col>
      <xdr:colOff>1270000</xdr:colOff>
      <xdr:row>128</xdr:row>
      <xdr:rowOff>54505</xdr:rowOff>
    </xdr:from>
    <xdr:ext cx="540448" cy="669047"/>
    <xdr:pic>
      <xdr:nvPicPr>
        <xdr:cNvPr id="1025" name="Picture 1024">
          <a:extLst>
            <a:ext uri="{FF2B5EF4-FFF2-40B4-BE49-F238E27FC236}">
              <a16:creationId xmlns:a16="http://schemas.microsoft.com/office/drawing/2014/main" id="{55F8738A-7C71-43BC-AF02-4DE457354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5" y="103676980"/>
          <a:ext cx="540448" cy="669047"/>
        </a:xfrm>
        <a:prstGeom prst="rect">
          <a:avLst/>
        </a:prstGeom>
      </xdr:spPr>
    </xdr:pic>
    <xdr:clientData/>
  </xdr:oneCellAnchor>
  <xdr:oneCellAnchor>
    <xdr:from>
      <xdr:col>4</xdr:col>
      <xdr:colOff>1835978</xdr:colOff>
      <xdr:row>128</xdr:row>
      <xdr:rowOff>40701</xdr:rowOff>
    </xdr:from>
    <xdr:ext cx="549138" cy="673201"/>
    <xdr:pic>
      <xdr:nvPicPr>
        <xdr:cNvPr id="1026" name="Picture 1025">
          <a:extLst>
            <a:ext uri="{FF2B5EF4-FFF2-40B4-BE49-F238E27FC236}">
              <a16:creationId xmlns:a16="http://schemas.microsoft.com/office/drawing/2014/main" id="{9E49B196-77CC-4DBB-BEDD-8B76341B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103663176"/>
          <a:ext cx="549138" cy="673201"/>
        </a:xfrm>
        <a:prstGeom prst="rect">
          <a:avLst/>
        </a:prstGeom>
      </xdr:spPr>
    </xdr:pic>
    <xdr:clientData/>
  </xdr:oneCellAnchor>
  <xdr:oneCellAnchor>
    <xdr:from>
      <xdr:col>4</xdr:col>
      <xdr:colOff>2401957</xdr:colOff>
      <xdr:row>128</xdr:row>
      <xdr:rowOff>82113</xdr:rowOff>
    </xdr:from>
    <xdr:ext cx="575501" cy="645231"/>
    <xdr:pic>
      <xdr:nvPicPr>
        <xdr:cNvPr id="1027" name="Picture 1026">
          <a:extLst>
            <a:ext uri="{FF2B5EF4-FFF2-40B4-BE49-F238E27FC236}">
              <a16:creationId xmlns:a16="http://schemas.microsoft.com/office/drawing/2014/main" id="{867FC369-E4F3-44A6-AF24-EF6DEEF5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482" y="103704588"/>
          <a:ext cx="575501" cy="645231"/>
        </a:xfrm>
        <a:prstGeom prst="rect">
          <a:avLst/>
        </a:prstGeom>
      </xdr:spPr>
    </xdr:pic>
    <xdr:clientData/>
  </xdr:oneCellAnchor>
  <xdr:oneCellAnchor>
    <xdr:from>
      <xdr:col>4</xdr:col>
      <xdr:colOff>3009347</xdr:colOff>
      <xdr:row>128</xdr:row>
      <xdr:rowOff>62572</xdr:rowOff>
    </xdr:from>
    <xdr:ext cx="586442" cy="676036"/>
    <xdr:pic>
      <xdr:nvPicPr>
        <xdr:cNvPr id="1028" name="Picture 1027">
          <a:extLst>
            <a:ext uri="{FF2B5EF4-FFF2-40B4-BE49-F238E27FC236}">
              <a16:creationId xmlns:a16="http://schemas.microsoft.com/office/drawing/2014/main" id="{C730008C-6D1E-472D-B041-B942A246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872" y="103685047"/>
          <a:ext cx="586442" cy="676036"/>
        </a:xfrm>
        <a:prstGeom prst="rect">
          <a:avLst/>
        </a:prstGeom>
      </xdr:spPr>
    </xdr:pic>
    <xdr:clientData/>
  </xdr:oneCellAnchor>
  <xdr:oneCellAnchor>
    <xdr:from>
      <xdr:col>4</xdr:col>
      <xdr:colOff>3650188</xdr:colOff>
      <xdr:row>128</xdr:row>
      <xdr:rowOff>55721</xdr:rowOff>
    </xdr:from>
    <xdr:ext cx="545064" cy="658528"/>
    <xdr:pic>
      <xdr:nvPicPr>
        <xdr:cNvPr id="1029" name="Picture 1028">
          <a:extLst>
            <a:ext uri="{FF2B5EF4-FFF2-40B4-BE49-F238E27FC236}">
              <a16:creationId xmlns:a16="http://schemas.microsoft.com/office/drawing/2014/main" id="{33CFD42A-4785-42DB-BA6C-26A7F832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713" y="103678196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82827</xdr:colOff>
      <xdr:row>129</xdr:row>
      <xdr:rowOff>64006</xdr:rowOff>
    </xdr:from>
    <xdr:ext cx="560121" cy="651780"/>
    <xdr:pic>
      <xdr:nvPicPr>
        <xdr:cNvPr id="1030" name="Picture 1029">
          <a:extLst>
            <a:ext uri="{FF2B5EF4-FFF2-40B4-BE49-F238E27FC236}">
              <a16:creationId xmlns:a16="http://schemas.microsoft.com/office/drawing/2014/main" id="{4886F43D-60E9-427E-B815-16513FFBE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2" y="104686606"/>
          <a:ext cx="560121" cy="651780"/>
        </a:xfrm>
        <a:prstGeom prst="rect">
          <a:avLst/>
        </a:prstGeom>
      </xdr:spPr>
    </xdr:pic>
    <xdr:clientData/>
  </xdr:oneCellAnchor>
  <xdr:oneCellAnchor>
    <xdr:from>
      <xdr:col>4</xdr:col>
      <xdr:colOff>690217</xdr:colOff>
      <xdr:row>129</xdr:row>
      <xdr:rowOff>76377</xdr:rowOff>
    </xdr:from>
    <xdr:ext cx="551829" cy="680015"/>
    <xdr:pic>
      <xdr:nvPicPr>
        <xdr:cNvPr id="1031" name="Picture 1030">
          <a:extLst>
            <a:ext uri="{FF2B5EF4-FFF2-40B4-BE49-F238E27FC236}">
              <a16:creationId xmlns:a16="http://schemas.microsoft.com/office/drawing/2014/main" id="{E799120E-5E6B-499A-A1CF-D53834F5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2" y="104698977"/>
          <a:ext cx="551829" cy="680015"/>
        </a:xfrm>
        <a:prstGeom prst="rect">
          <a:avLst/>
        </a:prstGeom>
      </xdr:spPr>
    </xdr:pic>
    <xdr:clientData/>
  </xdr:oneCellAnchor>
  <xdr:oneCellAnchor>
    <xdr:from>
      <xdr:col>4</xdr:col>
      <xdr:colOff>1270000</xdr:colOff>
      <xdr:row>129</xdr:row>
      <xdr:rowOff>54505</xdr:rowOff>
    </xdr:from>
    <xdr:ext cx="540448" cy="669047"/>
    <xdr:pic>
      <xdr:nvPicPr>
        <xdr:cNvPr id="1032" name="Picture 1031">
          <a:extLst>
            <a:ext uri="{FF2B5EF4-FFF2-40B4-BE49-F238E27FC236}">
              <a16:creationId xmlns:a16="http://schemas.microsoft.com/office/drawing/2014/main" id="{148EE858-3681-459C-B6DE-0F92DF510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5" y="104677105"/>
          <a:ext cx="540448" cy="669047"/>
        </a:xfrm>
        <a:prstGeom prst="rect">
          <a:avLst/>
        </a:prstGeom>
      </xdr:spPr>
    </xdr:pic>
    <xdr:clientData/>
  </xdr:oneCellAnchor>
  <xdr:oneCellAnchor>
    <xdr:from>
      <xdr:col>4</xdr:col>
      <xdr:colOff>1835978</xdr:colOff>
      <xdr:row>129</xdr:row>
      <xdr:rowOff>40701</xdr:rowOff>
    </xdr:from>
    <xdr:ext cx="549138" cy="673201"/>
    <xdr:pic>
      <xdr:nvPicPr>
        <xdr:cNvPr id="1033" name="Picture 1032">
          <a:extLst>
            <a:ext uri="{FF2B5EF4-FFF2-40B4-BE49-F238E27FC236}">
              <a16:creationId xmlns:a16="http://schemas.microsoft.com/office/drawing/2014/main" id="{B3400AAE-861F-4FB8-872C-43C5F31C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104663301"/>
          <a:ext cx="549138" cy="673201"/>
        </a:xfrm>
        <a:prstGeom prst="rect">
          <a:avLst/>
        </a:prstGeom>
      </xdr:spPr>
    </xdr:pic>
    <xdr:clientData/>
  </xdr:oneCellAnchor>
  <xdr:oneCellAnchor>
    <xdr:from>
      <xdr:col>4</xdr:col>
      <xdr:colOff>2401957</xdr:colOff>
      <xdr:row>129</xdr:row>
      <xdr:rowOff>82113</xdr:rowOff>
    </xdr:from>
    <xdr:ext cx="575501" cy="645231"/>
    <xdr:pic>
      <xdr:nvPicPr>
        <xdr:cNvPr id="1034" name="Picture 1033">
          <a:extLst>
            <a:ext uri="{FF2B5EF4-FFF2-40B4-BE49-F238E27FC236}">
              <a16:creationId xmlns:a16="http://schemas.microsoft.com/office/drawing/2014/main" id="{F001F505-CE4E-4ED0-9C80-A9235621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482" y="104704713"/>
          <a:ext cx="575501" cy="645231"/>
        </a:xfrm>
        <a:prstGeom prst="rect">
          <a:avLst/>
        </a:prstGeom>
      </xdr:spPr>
    </xdr:pic>
    <xdr:clientData/>
  </xdr:oneCellAnchor>
  <xdr:oneCellAnchor>
    <xdr:from>
      <xdr:col>4</xdr:col>
      <xdr:colOff>3009347</xdr:colOff>
      <xdr:row>129</xdr:row>
      <xdr:rowOff>62572</xdr:rowOff>
    </xdr:from>
    <xdr:ext cx="586442" cy="676036"/>
    <xdr:pic>
      <xdr:nvPicPr>
        <xdr:cNvPr id="1035" name="Picture 1034">
          <a:extLst>
            <a:ext uri="{FF2B5EF4-FFF2-40B4-BE49-F238E27FC236}">
              <a16:creationId xmlns:a16="http://schemas.microsoft.com/office/drawing/2014/main" id="{A4A92D0F-FC5E-4503-813A-418D66C6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872" y="104685172"/>
          <a:ext cx="586442" cy="676036"/>
        </a:xfrm>
        <a:prstGeom prst="rect">
          <a:avLst/>
        </a:prstGeom>
      </xdr:spPr>
    </xdr:pic>
    <xdr:clientData/>
  </xdr:oneCellAnchor>
  <xdr:oneCellAnchor>
    <xdr:from>
      <xdr:col>4</xdr:col>
      <xdr:colOff>3650188</xdr:colOff>
      <xdr:row>129</xdr:row>
      <xdr:rowOff>55721</xdr:rowOff>
    </xdr:from>
    <xdr:ext cx="545064" cy="658528"/>
    <xdr:pic>
      <xdr:nvPicPr>
        <xdr:cNvPr id="1036" name="Picture 1035">
          <a:extLst>
            <a:ext uri="{FF2B5EF4-FFF2-40B4-BE49-F238E27FC236}">
              <a16:creationId xmlns:a16="http://schemas.microsoft.com/office/drawing/2014/main" id="{734FCBC4-8C15-4506-B8E3-055BB166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713" y="104678321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82827</xdr:colOff>
      <xdr:row>130</xdr:row>
      <xdr:rowOff>64006</xdr:rowOff>
    </xdr:from>
    <xdr:ext cx="560121" cy="651780"/>
    <xdr:pic>
      <xdr:nvPicPr>
        <xdr:cNvPr id="1037" name="Picture 1036">
          <a:extLst>
            <a:ext uri="{FF2B5EF4-FFF2-40B4-BE49-F238E27FC236}">
              <a16:creationId xmlns:a16="http://schemas.microsoft.com/office/drawing/2014/main" id="{7074DF08-D019-42CD-A8A0-4992701E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352" y="105486706"/>
          <a:ext cx="560121" cy="651780"/>
        </a:xfrm>
        <a:prstGeom prst="rect">
          <a:avLst/>
        </a:prstGeom>
      </xdr:spPr>
    </xdr:pic>
    <xdr:clientData/>
  </xdr:oneCellAnchor>
  <xdr:oneCellAnchor>
    <xdr:from>
      <xdr:col>4</xdr:col>
      <xdr:colOff>690217</xdr:colOff>
      <xdr:row>130</xdr:row>
      <xdr:rowOff>76377</xdr:rowOff>
    </xdr:from>
    <xdr:ext cx="551829" cy="680015"/>
    <xdr:pic>
      <xdr:nvPicPr>
        <xdr:cNvPr id="1038" name="Picture 1037">
          <a:extLst>
            <a:ext uri="{FF2B5EF4-FFF2-40B4-BE49-F238E27FC236}">
              <a16:creationId xmlns:a16="http://schemas.microsoft.com/office/drawing/2014/main" id="{3A33CD76-DEC3-43ED-BA8D-F84DDCD9B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742" y="105499077"/>
          <a:ext cx="551829" cy="680015"/>
        </a:xfrm>
        <a:prstGeom prst="rect">
          <a:avLst/>
        </a:prstGeom>
      </xdr:spPr>
    </xdr:pic>
    <xdr:clientData/>
  </xdr:oneCellAnchor>
  <xdr:oneCellAnchor>
    <xdr:from>
      <xdr:col>4</xdr:col>
      <xdr:colOff>1270000</xdr:colOff>
      <xdr:row>130</xdr:row>
      <xdr:rowOff>54505</xdr:rowOff>
    </xdr:from>
    <xdr:ext cx="540448" cy="669047"/>
    <xdr:pic>
      <xdr:nvPicPr>
        <xdr:cNvPr id="1039" name="Picture 1038">
          <a:extLst>
            <a:ext uri="{FF2B5EF4-FFF2-40B4-BE49-F238E27FC236}">
              <a16:creationId xmlns:a16="http://schemas.microsoft.com/office/drawing/2014/main" id="{26CD1037-575A-49D1-9356-97BB8D393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525" y="105477205"/>
          <a:ext cx="540448" cy="669047"/>
        </a:xfrm>
        <a:prstGeom prst="rect">
          <a:avLst/>
        </a:prstGeom>
      </xdr:spPr>
    </xdr:pic>
    <xdr:clientData/>
  </xdr:oneCellAnchor>
  <xdr:oneCellAnchor>
    <xdr:from>
      <xdr:col>4</xdr:col>
      <xdr:colOff>1835978</xdr:colOff>
      <xdr:row>130</xdr:row>
      <xdr:rowOff>40701</xdr:rowOff>
    </xdr:from>
    <xdr:ext cx="549138" cy="673201"/>
    <xdr:pic>
      <xdr:nvPicPr>
        <xdr:cNvPr id="1040" name="Picture 1039">
          <a:extLst>
            <a:ext uri="{FF2B5EF4-FFF2-40B4-BE49-F238E27FC236}">
              <a16:creationId xmlns:a16="http://schemas.microsoft.com/office/drawing/2014/main" id="{764A4294-70D4-4AFD-B635-4D32B3076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503" y="105463401"/>
          <a:ext cx="549138" cy="673201"/>
        </a:xfrm>
        <a:prstGeom prst="rect">
          <a:avLst/>
        </a:prstGeom>
      </xdr:spPr>
    </xdr:pic>
    <xdr:clientData/>
  </xdr:oneCellAnchor>
  <xdr:oneCellAnchor>
    <xdr:from>
      <xdr:col>4</xdr:col>
      <xdr:colOff>2401957</xdr:colOff>
      <xdr:row>130</xdr:row>
      <xdr:rowOff>82113</xdr:rowOff>
    </xdr:from>
    <xdr:ext cx="575501" cy="645231"/>
    <xdr:pic>
      <xdr:nvPicPr>
        <xdr:cNvPr id="1041" name="Picture 1040">
          <a:extLst>
            <a:ext uri="{FF2B5EF4-FFF2-40B4-BE49-F238E27FC236}">
              <a16:creationId xmlns:a16="http://schemas.microsoft.com/office/drawing/2014/main" id="{894669AB-0439-4625-A88D-94F074E7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482" y="105504813"/>
          <a:ext cx="575501" cy="645231"/>
        </a:xfrm>
        <a:prstGeom prst="rect">
          <a:avLst/>
        </a:prstGeom>
      </xdr:spPr>
    </xdr:pic>
    <xdr:clientData/>
  </xdr:oneCellAnchor>
  <xdr:oneCellAnchor>
    <xdr:from>
      <xdr:col>4</xdr:col>
      <xdr:colOff>3009347</xdr:colOff>
      <xdr:row>130</xdr:row>
      <xdr:rowOff>62572</xdr:rowOff>
    </xdr:from>
    <xdr:ext cx="586442" cy="676036"/>
    <xdr:pic>
      <xdr:nvPicPr>
        <xdr:cNvPr id="1042" name="Picture 1041">
          <a:extLst>
            <a:ext uri="{FF2B5EF4-FFF2-40B4-BE49-F238E27FC236}">
              <a16:creationId xmlns:a16="http://schemas.microsoft.com/office/drawing/2014/main" id="{CD3D4D0B-B94E-482E-9CDC-F79DEE44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872" y="105485272"/>
          <a:ext cx="586442" cy="676036"/>
        </a:xfrm>
        <a:prstGeom prst="rect">
          <a:avLst/>
        </a:prstGeom>
      </xdr:spPr>
    </xdr:pic>
    <xdr:clientData/>
  </xdr:oneCellAnchor>
  <xdr:oneCellAnchor>
    <xdr:from>
      <xdr:col>4</xdr:col>
      <xdr:colOff>3650188</xdr:colOff>
      <xdr:row>130</xdr:row>
      <xdr:rowOff>55721</xdr:rowOff>
    </xdr:from>
    <xdr:ext cx="545064" cy="658528"/>
    <xdr:pic>
      <xdr:nvPicPr>
        <xdr:cNvPr id="1043" name="Picture 1042">
          <a:extLst>
            <a:ext uri="{FF2B5EF4-FFF2-40B4-BE49-F238E27FC236}">
              <a16:creationId xmlns:a16="http://schemas.microsoft.com/office/drawing/2014/main" id="{CFA485BF-C8C0-4C31-A014-EC15E4D53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713" y="105478421"/>
          <a:ext cx="545064" cy="658528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131</xdr:row>
      <xdr:rowOff>85662</xdr:rowOff>
    </xdr:from>
    <xdr:ext cx="545064" cy="658529"/>
    <xdr:pic>
      <xdr:nvPicPr>
        <xdr:cNvPr id="1044" name="Picture 1043">
          <a:extLst>
            <a:ext uri="{FF2B5EF4-FFF2-40B4-BE49-F238E27FC236}">
              <a16:creationId xmlns:a16="http://schemas.microsoft.com/office/drawing/2014/main" id="{7A16AAF9-332E-4D0A-A2D4-7333A15CC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6508487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131</xdr:row>
      <xdr:rowOff>85878</xdr:rowOff>
    </xdr:from>
    <xdr:ext cx="560121" cy="651781"/>
    <xdr:pic>
      <xdr:nvPicPr>
        <xdr:cNvPr id="1045" name="Picture 1044">
          <a:extLst>
            <a:ext uri="{FF2B5EF4-FFF2-40B4-BE49-F238E27FC236}">
              <a16:creationId xmlns:a16="http://schemas.microsoft.com/office/drawing/2014/main" id="{B5442ADE-59E9-440A-B4A2-76ED5040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6508703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131</xdr:row>
      <xdr:rowOff>72072</xdr:rowOff>
    </xdr:from>
    <xdr:ext cx="551829" cy="680016"/>
    <xdr:pic>
      <xdr:nvPicPr>
        <xdr:cNvPr id="1046" name="Picture 1045">
          <a:extLst>
            <a:ext uri="{FF2B5EF4-FFF2-40B4-BE49-F238E27FC236}">
              <a16:creationId xmlns:a16="http://schemas.microsoft.com/office/drawing/2014/main" id="{D118E3F5-6D5F-4DB2-AB71-E9E90089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6494897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131</xdr:row>
      <xdr:rowOff>32096</xdr:rowOff>
    </xdr:from>
    <xdr:ext cx="540448" cy="710461"/>
    <xdr:pic>
      <xdr:nvPicPr>
        <xdr:cNvPr id="1047" name="Picture 1046">
          <a:extLst>
            <a:ext uri="{FF2B5EF4-FFF2-40B4-BE49-F238E27FC236}">
              <a16:creationId xmlns:a16="http://schemas.microsoft.com/office/drawing/2014/main" id="{3618B1AA-BF02-4751-94B8-A7412DB3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6454921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131</xdr:row>
      <xdr:rowOff>70639</xdr:rowOff>
    </xdr:from>
    <xdr:ext cx="586442" cy="676037"/>
    <xdr:pic>
      <xdr:nvPicPr>
        <xdr:cNvPr id="1048" name="Picture 1047">
          <a:extLst>
            <a:ext uri="{FF2B5EF4-FFF2-40B4-BE49-F238E27FC236}">
              <a16:creationId xmlns:a16="http://schemas.microsoft.com/office/drawing/2014/main" id="{3F9DEB4A-DD69-47F2-9F19-EC6705A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6493464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126</xdr:row>
      <xdr:rowOff>85662</xdr:rowOff>
    </xdr:from>
    <xdr:ext cx="545064" cy="658529"/>
    <xdr:pic>
      <xdr:nvPicPr>
        <xdr:cNvPr id="1049" name="Picture 1048">
          <a:extLst>
            <a:ext uri="{FF2B5EF4-FFF2-40B4-BE49-F238E27FC236}">
              <a16:creationId xmlns:a16="http://schemas.microsoft.com/office/drawing/2014/main" id="{4C34B8BF-05A8-4325-9BEA-65FF4D10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206031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126</xdr:row>
      <xdr:rowOff>85878</xdr:rowOff>
    </xdr:from>
    <xdr:ext cx="560121" cy="651781"/>
    <xdr:pic>
      <xdr:nvPicPr>
        <xdr:cNvPr id="1050" name="Picture 1049">
          <a:extLst>
            <a:ext uri="{FF2B5EF4-FFF2-40B4-BE49-F238E27FC236}">
              <a16:creationId xmlns:a16="http://schemas.microsoft.com/office/drawing/2014/main" id="{5D20EA53-A473-4B73-8378-18A2FF79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206052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126</xdr:row>
      <xdr:rowOff>72072</xdr:rowOff>
    </xdr:from>
    <xdr:ext cx="551829" cy="680016"/>
    <xdr:pic>
      <xdr:nvPicPr>
        <xdr:cNvPr id="1051" name="Picture 1050">
          <a:extLst>
            <a:ext uri="{FF2B5EF4-FFF2-40B4-BE49-F238E27FC236}">
              <a16:creationId xmlns:a16="http://schemas.microsoft.com/office/drawing/2014/main" id="{6F937D3E-F093-47EE-8344-B0C8836C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204672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126</xdr:row>
      <xdr:rowOff>32096</xdr:rowOff>
    </xdr:from>
    <xdr:ext cx="540448" cy="710461"/>
    <xdr:pic>
      <xdr:nvPicPr>
        <xdr:cNvPr id="1052" name="Picture 1051">
          <a:extLst>
            <a:ext uri="{FF2B5EF4-FFF2-40B4-BE49-F238E27FC236}">
              <a16:creationId xmlns:a16="http://schemas.microsoft.com/office/drawing/2014/main" id="{1304D310-9C48-4816-A4F7-02C0B0BE1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200674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126</xdr:row>
      <xdr:rowOff>70639</xdr:rowOff>
    </xdr:from>
    <xdr:ext cx="586442" cy="676037"/>
    <xdr:pic>
      <xdr:nvPicPr>
        <xdr:cNvPr id="1053" name="Picture 1052">
          <a:extLst>
            <a:ext uri="{FF2B5EF4-FFF2-40B4-BE49-F238E27FC236}">
              <a16:creationId xmlns:a16="http://schemas.microsoft.com/office/drawing/2014/main" id="{ABE5A3B9-6193-4001-8115-9404E8CF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204528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132</xdr:row>
      <xdr:rowOff>167625</xdr:rowOff>
    </xdr:from>
    <xdr:ext cx="551828" cy="656054"/>
    <xdr:pic>
      <xdr:nvPicPr>
        <xdr:cNvPr id="1067" name="Picture 1066">
          <a:extLst>
            <a:ext uri="{FF2B5EF4-FFF2-40B4-BE49-F238E27FC236}">
              <a16:creationId xmlns:a16="http://schemas.microsoft.com/office/drawing/2014/main" id="{DDD72157-4820-4A12-81B6-456320441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8781200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621196</xdr:colOff>
      <xdr:row>132</xdr:row>
      <xdr:rowOff>177127</xdr:rowOff>
    </xdr:from>
    <xdr:ext cx="556845" cy="671110"/>
    <xdr:pic>
      <xdr:nvPicPr>
        <xdr:cNvPr id="1068" name="Picture 1067">
          <a:extLst>
            <a:ext uri="{FF2B5EF4-FFF2-40B4-BE49-F238E27FC236}">
              <a16:creationId xmlns:a16="http://schemas.microsoft.com/office/drawing/2014/main" id="{B65C7D17-B974-4A6E-A6FB-36A409DD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108790702"/>
          <a:ext cx="556845" cy="671110"/>
        </a:xfrm>
        <a:prstGeom prst="rect">
          <a:avLst/>
        </a:prstGeom>
      </xdr:spPr>
    </xdr:pic>
    <xdr:clientData/>
  </xdr:oneCellAnchor>
  <xdr:oneCellAnchor>
    <xdr:from>
      <xdr:col>4</xdr:col>
      <xdr:colOff>1205225</xdr:colOff>
      <xdr:row>132</xdr:row>
      <xdr:rowOff>169219</xdr:rowOff>
    </xdr:from>
    <xdr:ext cx="561865" cy="647822"/>
    <xdr:pic>
      <xdr:nvPicPr>
        <xdr:cNvPr id="1069" name="Picture 1068">
          <a:extLst>
            <a:ext uri="{FF2B5EF4-FFF2-40B4-BE49-F238E27FC236}">
              <a16:creationId xmlns:a16="http://schemas.microsoft.com/office/drawing/2014/main" id="{5E37947D-B57C-4071-AA24-575CF5ED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750" y="108782794"/>
          <a:ext cx="561865" cy="647822"/>
        </a:xfrm>
        <a:prstGeom prst="rect">
          <a:avLst/>
        </a:prstGeom>
      </xdr:spPr>
    </xdr:pic>
    <xdr:clientData/>
  </xdr:oneCellAnchor>
  <xdr:oneCellAnchor>
    <xdr:from>
      <xdr:col>4</xdr:col>
      <xdr:colOff>1837049</xdr:colOff>
      <xdr:row>132</xdr:row>
      <xdr:rowOff>166191</xdr:rowOff>
    </xdr:from>
    <xdr:ext cx="551829" cy="672918"/>
    <xdr:pic>
      <xdr:nvPicPr>
        <xdr:cNvPr id="1070" name="Picture 1069">
          <a:extLst>
            <a:ext uri="{FF2B5EF4-FFF2-40B4-BE49-F238E27FC236}">
              <a16:creationId xmlns:a16="http://schemas.microsoft.com/office/drawing/2014/main" id="{6A5004B6-896F-4A32-AAF2-7F5042CF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9574" y="108779766"/>
          <a:ext cx="551829" cy="672918"/>
        </a:xfrm>
        <a:prstGeom prst="rect">
          <a:avLst/>
        </a:prstGeom>
      </xdr:spPr>
    </xdr:pic>
    <xdr:clientData/>
  </xdr:oneCellAnchor>
  <xdr:oneCellAnchor>
    <xdr:from>
      <xdr:col>4</xdr:col>
      <xdr:colOff>2467247</xdr:colOff>
      <xdr:row>132</xdr:row>
      <xdr:rowOff>178561</xdr:rowOff>
    </xdr:from>
    <xdr:ext cx="540448" cy="667988"/>
    <xdr:pic>
      <xdr:nvPicPr>
        <xdr:cNvPr id="1071" name="Picture 1070">
          <a:extLst>
            <a:ext uri="{FF2B5EF4-FFF2-40B4-BE49-F238E27FC236}">
              <a16:creationId xmlns:a16="http://schemas.microsoft.com/office/drawing/2014/main" id="{1CB38A19-CF6D-4C94-9204-5CD860F7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772" y="108792136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3062270</xdr:colOff>
      <xdr:row>132</xdr:row>
      <xdr:rowOff>166191</xdr:rowOff>
    </xdr:from>
    <xdr:ext cx="549138" cy="669243"/>
    <xdr:pic>
      <xdr:nvPicPr>
        <xdr:cNvPr id="1072" name="Picture 1071">
          <a:extLst>
            <a:ext uri="{FF2B5EF4-FFF2-40B4-BE49-F238E27FC236}">
              <a16:creationId xmlns:a16="http://schemas.microsoft.com/office/drawing/2014/main" id="{7FAC25C9-664C-4D39-8A60-2AF46850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4795" y="108779766"/>
          <a:ext cx="549138" cy="669243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133</xdr:row>
      <xdr:rowOff>167625</xdr:rowOff>
    </xdr:from>
    <xdr:ext cx="551828" cy="656054"/>
    <xdr:pic>
      <xdr:nvPicPr>
        <xdr:cNvPr id="1073" name="Picture 1072">
          <a:extLst>
            <a:ext uri="{FF2B5EF4-FFF2-40B4-BE49-F238E27FC236}">
              <a16:creationId xmlns:a16="http://schemas.microsoft.com/office/drawing/2014/main" id="{DD89C9C3-5D4D-466A-A5C6-723F994B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9876575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621196</xdr:colOff>
      <xdr:row>133</xdr:row>
      <xdr:rowOff>177127</xdr:rowOff>
    </xdr:from>
    <xdr:ext cx="556845" cy="671110"/>
    <xdr:pic>
      <xdr:nvPicPr>
        <xdr:cNvPr id="1074" name="Picture 1073">
          <a:extLst>
            <a:ext uri="{FF2B5EF4-FFF2-40B4-BE49-F238E27FC236}">
              <a16:creationId xmlns:a16="http://schemas.microsoft.com/office/drawing/2014/main" id="{9E144AD9-779F-4645-A97A-B2F8BC11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109886077"/>
          <a:ext cx="556845" cy="671110"/>
        </a:xfrm>
        <a:prstGeom prst="rect">
          <a:avLst/>
        </a:prstGeom>
      </xdr:spPr>
    </xdr:pic>
    <xdr:clientData/>
  </xdr:oneCellAnchor>
  <xdr:oneCellAnchor>
    <xdr:from>
      <xdr:col>4</xdr:col>
      <xdr:colOff>1187174</xdr:colOff>
      <xdr:row>133</xdr:row>
      <xdr:rowOff>203301</xdr:rowOff>
    </xdr:from>
    <xdr:ext cx="556847" cy="661073"/>
    <xdr:pic>
      <xdr:nvPicPr>
        <xdr:cNvPr id="1075" name="Picture 1074">
          <a:extLst>
            <a:ext uri="{FF2B5EF4-FFF2-40B4-BE49-F238E27FC236}">
              <a16:creationId xmlns:a16="http://schemas.microsoft.com/office/drawing/2014/main" id="{9ECDB351-3386-4DC5-83DC-CADF88EF6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699" y="109912251"/>
          <a:ext cx="556847" cy="661073"/>
        </a:xfrm>
        <a:prstGeom prst="rect">
          <a:avLst/>
        </a:prstGeom>
      </xdr:spPr>
    </xdr:pic>
    <xdr:clientData/>
  </xdr:oneCellAnchor>
  <xdr:oneCellAnchor>
    <xdr:from>
      <xdr:col>4</xdr:col>
      <xdr:colOff>1766956</xdr:colOff>
      <xdr:row>133</xdr:row>
      <xdr:rowOff>181430</xdr:rowOff>
    </xdr:from>
    <xdr:ext cx="561865" cy="647822"/>
    <xdr:pic>
      <xdr:nvPicPr>
        <xdr:cNvPr id="1076" name="Picture 1075">
          <a:extLst>
            <a:ext uri="{FF2B5EF4-FFF2-40B4-BE49-F238E27FC236}">
              <a16:creationId xmlns:a16="http://schemas.microsoft.com/office/drawing/2014/main" id="{8D55EFF5-FE86-46B3-93EC-F1E4E61C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481" y="109890380"/>
          <a:ext cx="561865" cy="647822"/>
        </a:xfrm>
        <a:prstGeom prst="rect">
          <a:avLst/>
        </a:prstGeom>
      </xdr:spPr>
    </xdr:pic>
    <xdr:clientData/>
  </xdr:oneCellAnchor>
  <xdr:oneCellAnchor>
    <xdr:from>
      <xdr:col>4</xdr:col>
      <xdr:colOff>2374348</xdr:colOff>
      <xdr:row>133</xdr:row>
      <xdr:rowOff>166191</xdr:rowOff>
    </xdr:from>
    <xdr:ext cx="551829" cy="672918"/>
    <xdr:pic>
      <xdr:nvPicPr>
        <xdr:cNvPr id="1077" name="Picture 1076">
          <a:extLst>
            <a:ext uri="{FF2B5EF4-FFF2-40B4-BE49-F238E27FC236}">
              <a16:creationId xmlns:a16="http://schemas.microsoft.com/office/drawing/2014/main" id="{C417DA59-D315-453B-8BD0-D3BD9B516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873" y="109875141"/>
          <a:ext cx="551829" cy="672918"/>
        </a:xfrm>
        <a:prstGeom prst="rect">
          <a:avLst/>
        </a:prstGeom>
      </xdr:spPr>
    </xdr:pic>
    <xdr:clientData/>
  </xdr:oneCellAnchor>
  <xdr:oneCellAnchor>
    <xdr:from>
      <xdr:col>4</xdr:col>
      <xdr:colOff>2967935</xdr:colOff>
      <xdr:row>133</xdr:row>
      <xdr:rowOff>178561</xdr:rowOff>
    </xdr:from>
    <xdr:ext cx="540448" cy="667988"/>
    <xdr:pic>
      <xdr:nvPicPr>
        <xdr:cNvPr id="1078" name="Picture 1077">
          <a:extLst>
            <a:ext uri="{FF2B5EF4-FFF2-40B4-BE49-F238E27FC236}">
              <a16:creationId xmlns:a16="http://schemas.microsoft.com/office/drawing/2014/main" id="{9E37423A-D62E-4D14-9C30-DC4865B9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0460" y="109887511"/>
          <a:ext cx="540448" cy="667988"/>
        </a:xfrm>
        <a:prstGeom prst="rect">
          <a:avLst/>
        </a:prstGeom>
      </xdr:spPr>
    </xdr:pic>
    <xdr:clientData/>
  </xdr:oneCellAnchor>
  <xdr:oneCellAnchor>
    <xdr:from>
      <xdr:col>4</xdr:col>
      <xdr:colOff>3562956</xdr:colOff>
      <xdr:row>133</xdr:row>
      <xdr:rowOff>166191</xdr:rowOff>
    </xdr:from>
    <xdr:ext cx="549138" cy="669243"/>
    <xdr:pic>
      <xdr:nvPicPr>
        <xdr:cNvPr id="1079" name="Picture 1078">
          <a:extLst>
            <a:ext uri="{FF2B5EF4-FFF2-40B4-BE49-F238E27FC236}">
              <a16:creationId xmlns:a16="http://schemas.microsoft.com/office/drawing/2014/main" id="{412C6E42-AD5F-4567-A6F5-7FF2F04D4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481" y="109875141"/>
          <a:ext cx="549138" cy="669243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134</xdr:row>
      <xdr:rowOff>85662</xdr:rowOff>
    </xdr:from>
    <xdr:ext cx="545064" cy="658529"/>
    <xdr:pic>
      <xdr:nvPicPr>
        <xdr:cNvPr id="1080" name="Picture 1079">
          <a:extLst>
            <a:ext uri="{FF2B5EF4-FFF2-40B4-BE49-F238E27FC236}">
              <a16:creationId xmlns:a16="http://schemas.microsoft.com/office/drawing/2014/main" id="{63BA809A-0555-4ACB-9947-A838EE54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9945046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134</xdr:row>
      <xdr:rowOff>85878</xdr:rowOff>
    </xdr:from>
    <xdr:ext cx="560121" cy="651781"/>
    <xdr:pic>
      <xdr:nvPicPr>
        <xdr:cNvPr id="1081" name="Picture 1080">
          <a:extLst>
            <a:ext uri="{FF2B5EF4-FFF2-40B4-BE49-F238E27FC236}">
              <a16:creationId xmlns:a16="http://schemas.microsoft.com/office/drawing/2014/main" id="{2AFDC13C-015E-46AD-9143-835B3951D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9945067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134</xdr:row>
      <xdr:rowOff>72072</xdr:rowOff>
    </xdr:from>
    <xdr:ext cx="551829" cy="680016"/>
    <xdr:pic>
      <xdr:nvPicPr>
        <xdr:cNvPr id="1082" name="Picture 1081">
          <a:extLst>
            <a:ext uri="{FF2B5EF4-FFF2-40B4-BE49-F238E27FC236}">
              <a16:creationId xmlns:a16="http://schemas.microsoft.com/office/drawing/2014/main" id="{2194ED68-F000-44BA-A2D9-1882DB42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9943687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134</xdr:row>
      <xdr:rowOff>32096</xdr:rowOff>
    </xdr:from>
    <xdr:ext cx="540448" cy="710461"/>
    <xdr:pic>
      <xdr:nvPicPr>
        <xdr:cNvPr id="1083" name="Picture 1082">
          <a:extLst>
            <a:ext uri="{FF2B5EF4-FFF2-40B4-BE49-F238E27FC236}">
              <a16:creationId xmlns:a16="http://schemas.microsoft.com/office/drawing/2014/main" id="{62BFCE75-250E-4D76-A0BA-DF00C355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9939689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134</xdr:row>
      <xdr:rowOff>70639</xdr:rowOff>
    </xdr:from>
    <xdr:ext cx="586442" cy="676037"/>
    <xdr:pic>
      <xdr:nvPicPr>
        <xdr:cNvPr id="1084" name="Picture 1083">
          <a:extLst>
            <a:ext uri="{FF2B5EF4-FFF2-40B4-BE49-F238E27FC236}">
              <a16:creationId xmlns:a16="http://schemas.microsoft.com/office/drawing/2014/main" id="{335D0A79-BBBF-43DD-AE20-CBC79D83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99435439"/>
          <a:ext cx="586442" cy="676037"/>
        </a:xfrm>
        <a:prstGeom prst="rect">
          <a:avLst/>
        </a:prstGeom>
      </xdr:spPr>
    </xdr:pic>
    <xdr:clientData/>
  </xdr:oneCellAnchor>
  <xdr:oneCellAnchor>
    <xdr:from>
      <xdr:col>4</xdr:col>
      <xdr:colOff>2464448</xdr:colOff>
      <xdr:row>135</xdr:row>
      <xdr:rowOff>85662</xdr:rowOff>
    </xdr:from>
    <xdr:ext cx="545064" cy="658529"/>
    <xdr:pic>
      <xdr:nvPicPr>
        <xdr:cNvPr id="1085" name="Picture 1084">
          <a:extLst>
            <a:ext uri="{FF2B5EF4-FFF2-40B4-BE49-F238E27FC236}">
              <a16:creationId xmlns:a16="http://schemas.microsoft.com/office/drawing/2014/main" id="{C2DE3978-5A2A-4087-BD28-D992DE2CC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6973" y="107603862"/>
          <a:ext cx="545064" cy="658529"/>
        </a:xfrm>
        <a:prstGeom prst="rect">
          <a:avLst/>
        </a:prstGeom>
      </xdr:spPr>
    </xdr:pic>
    <xdr:clientData/>
  </xdr:oneCellAnchor>
  <xdr:oneCellAnchor>
    <xdr:from>
      <xdr:col>4</xdr:col>
      <xdr:colOff>55218</xdr:colOff>
      <xdr:row>135</xdr:row>
      <xdr:rowOff>85878</xdr:rowOff>
    </xdr:from>
    <xdr:ext cx="560121" cy="651781"/>
    <xdr:pic>
      <xdr:nvPicPr>
        <xdr:cNvPr id="1086" name="Picture 1085">
          <a:extLst>
            <a:ext uri="{FF2B5EF4-FFF2-40B4-BE49-F238E27FC236}">
              <a16:creationId xmlns:a16="http://schemas.microsoft.com/office/drawing/2014/main" id="{95167A71-5027-4DD3-B5A1-EBA6CBF0C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07604078"/>
          <a:ext cx="560121" cy="651781"/>
        </a:xfrm>
        <a:prstGeom prst="rect">
          <a:avLst/>
        </a:prstGeom>
      </xdr:spPr>
    </xdr:pic>
    <xdr:clientData/>
  </xdr:oneCellAnchor>
  <xdr:oneCellAnchor>
    <xdr:from>
      <xdr:col>4</xdr:col>
      <xdr:colOff>648804</xdr:colOff>
      <xdr:row>135</xdr:row>
      <xdr:rowOff>72072</xdr:rowOff>
    </xdr:from>
    <xdr:ext cx="551829" cy="680016"/>
    <xdr:pic>
      <xdr:nvPicPr>
        <xdr:cNvPr id="1087" name="Picture 1086">
          <a:extLst>
            <a:ext uri="{FF2B5EF4-FFF2-40B4-BE49-F238E27FC236}">
              <a16:creationId xmlns:a16="http://schemas.microsoft.com/office/drawing/2014/main" id="{A7EE4296-7923-4654-A655-BB1016F8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329" y="107590272"/>
          <a:ext cx="551829" cy="680016"/>
        </a:xfrm>
        <a:prstGeom prst="rect">
          <a:avLst/>
        </a:prstGeom>
      </xdr:spPr>
    </xdr:pic>
    <xdr:clientData/>
  </xdr:oneCellAnchor>
  <xdr:oneCellAnchor>
    <xdr:from>
      <xdr:col>4</xdr:col>
      <xdr:colOff>1242391</xdr:colOff>
      <xdr:row>135</xdr:row>
      <xdr:rowOff>32096</xdr:rowOff>
    </xdr:from>
    <xdr:ext cx="540448" cy="710461"/>
    <xdr:pic>
      <xdr:nvPicPr>
        <xdr:cNvPr id="1088" name="Picture 1087">
          <a:extLst>
            <a:ext uri="{FF2B5EF4-FFF2-40B4-BE49-F238E27FC236}">
              <a16:creationId xmlns:a16="http://schemas.microsoft.com/office/drawing/2014/main" id="{E4B72CCC-89C2-4D06-8AE2-CDFBF54F8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916" y="107550296"/>
          <a:ext cx="540448" cy="710461"/>
        </a:xfrm>
        <a:prstGeom prst="rect">
          <a:avLst/>
        </a:prstGeom>
      </xdr:spPr>
    </xdr:pic>
    <xdr:clientData/>
  </xdr:oneCellAnchor>
  <xdr:oneCellAnchor>
    <xdr:from>
      <xdr:col>4</xdr:col>
      <xdr:colOff>1808369</xdr:colOff>
      <xdr:row>135</xdr:row>
      <xdr:rowOff>70639</xdr:rowOff>
    </xdr:from>
    <xdr:ext cx="586442" cy="676037"/>
    <xdr:pic>
      <xdr:nvPicPr>
        <xdr:cNvPr id="1089" name="Picture 1088">
          <a:extLst>
            <a:ext uri="{FF2B5EF4-FFF2-40B4-BE49-F238E27FC236}">
              <a16:creationId xmlns:a16="http://schemas.microsoft.com/office/drawing/2014/main" id="{4E96C3C6-9111-49ED-8AC7-20F501DA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894" y="107588839"/>
          <a:ext cx="586442" cy="676037"/>
        </a:xfrm>
        <a:prstGeom prst="rect">
          <a:avLst/>
        </a:prstGeom>
      </xdr:spPr>
    </xdr:pic>
    <xdr:clientData/>
  </xdr:oneCellAnchor>
  <xdr:twoCellAnchor editAs="oneCell">
    <xdr:from>
      <xdr:col>4</xdr:col>
      <xdr:colOff>55218</xdr:colOff>
      <xdr:row>136</xdr:row>
      <xdr:rowOff>167625</xdr:rowOff>
    </xdr:from>
    <xdr:to>
      <xdr:col>4</xdr:col>
      <xdr:colOff>607046</xdr:colOff>
      <xdr:row>136</xdr:row>
      <xdr:rowOff>823679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id="{7082DC94-DEFF-47DA-B549-3CE83EBB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43" y="110971950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621196</xdr:colOff>
      <xdr:row>136</xdr:row>
      <xdr:rowOff>177127</xdr:rowOff>
    </xdr:from>
    <xdr:to>
      <xdr:col>4</xdr:col>
      <xdr:colOff>1178041</xdr:colOff>
      <xdr:row>136</xdr:row>
      <xdr:rowOff>848237</xdr:rowOff>
    </xdr:to>
    <xdr:pic>
      <xdr:nvPicPr>
        <xdr:cNvPr id="1091" name="Picture 1090">
          <a:extLst>
            <a:ext uri="{FF2B5EF4-FFF2-40B4-BE49-F238E27FC236}">
              <a16:creationId xmlns:a16="http://schemas.microsoft.com/office/drawing/2014/main" id="{D3CD886B-4E1B-426E-88CD-39A4DC943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721" y="110981452"/>
          <a:ext cx="556845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1187174</xdr:colOff>
      <xdr:row>136</xdr:row>
      <xdr:rowOff>203301</xdr:rowOff>
    </xdr:from>
    <xdr:to>
      <xdr:col>4</xdr:col>
      <xdr:colOff>1744021</xdr:colOff>
      <xdr:row>136</xdr:row>
      <xdr:rowOff>864374</xdr:rowOff>
    </xdr:to>
    <xdr:pic>
      <xdr:nvPicPr>
        <xdr:cNvPr id="1092" name="Picture 1091">
          <a:extLst>
            <a:ext uri="{FF2B5EF4-FFF2-40B4-BE49-F238E27FC236}">
              <a16:creationId xmlns:a16="http://schemas.microsoft.com/office/drawing/2014/main" id="{D273D58A-F60E-4684-85CA-6A28DB8DE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699" y="111007626"/>
          <a:ext cx="556847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1766956</xdr:colOff>
      <xdr:row>136</xdr:row>
      <xdr:rowOff>181430</xdr:rowOff>
    </xdr:from>
    <xdr:to>
      <xdr:col>4</xdr:col>
      <xdr:colOff>2328821</xdr:colOff>
      <xdr:row>136</xdr:row>
      <xdr:rowOff>829252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id="{8F5CC511-FAE7-4321-B78C-897DF6DB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481" y="110985755"/>
          <a:ext cx="561865" cy="647822"/>
        </a:xfrm>
        <a:prstGeom prst="rect">
          <a:avLst/>
        </a:prstGeom>
      </xdr:spPr>
    </xdr:pic>
    <xdr:clientData/>
  </xdr:twoCellAnchor>
  <xdr:twoCellAnchor editAs="oneCell">
    <xdr:from>
      <xdr:col>4</xdr:col>
      <xdr:colOff>2374348</xdr:colOff>
      <xdr:row>136</xdr:row>
      <xdr:rowOff>166191</xdr:rowOff>
    </xdr:from>
    <xdr:to>
      <xdr:col>4</xdr:col>
      <xdr:colOff>2926177</xdr:colOff>
      <xdr:row>136</xdr:row>
      <xdr:rowOff>839109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id="{4133AEEC-E12A-410E-8A5F-D8880C28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873" y="110970516"/>
          <a:ext cx="551829" cy="672918"/>
        </a:xfrm>
        <a:prstGeom prst="rect">
          <a:avLst/>
        </a:prstGeom>
      </xdr:spPr>
    </xdr:pic>
    <xdr:clientData/>
  </xdr:twoCellAnchor>
  <xdr:twoCellAnchor editAs="oneCell">
    <xdr:from>
      <xdr:col>4</xdr:col>
      <xdr:colOff>2967935</xdr:colOff>
      <xdr:row>136</xdr:row>
      <xdr:rowOff>178561</xdr:rowOff>
    </xdr:from>
    <xdr:to>
      <xdr:col>4</xdr:col>
      <xdr:colOff>3508383</xdr:colOff>
      <xdr:row>136</xdr:row>
      <xdr:rowOff>846549</xdr:rowOff>
    </xdr:to>
    <xdr:pic>
      <xdr:nvPicPr>
        <xdr:cNvPr id="1095" name="Picture 1094">
          <a:extLst>
            <a:ext uri="{FF2B5EF4-FFF2-40B4-BE49-F238E27FC236}">
              <a16:creationId xmlns:a16="http://schemas.microsoft.com/office/drawing/2014/main" id="{08C704BA-BC9C-40E4-B0B9-622EDE7C9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0460" y="110982886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3562956</xdr:colOff>
      <xdr:row>136</xdr:row>
      <xdr:rowOff>166191</xdr:rowOff>
    </xdr:from>
    <xdr:to>
      <xdr:col>4</xdr:col>
      <xdr:colOff>4112094</xdr:colOff>
      <xdr:row>136</xdr:row>
      <xdr:rowOff>835434</xdr:rowOff>
    </xdr:to>
    <xdr:pic>
      <xdr:nvPicPr>
        <xdr:cNvPr id="1096" name="Picture 1095">
          <a:extLst>
            <a:ext uri="{FF2B5EF4-FFF2-40B4-BE49-F238E27FC236}">
              <a16:creationId xmlns:a16="http://schemas.microsoft.com/office/drawing/2014/main" id="{3EA220A6-4E72-42C5-8396-D239E4F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481" y="110970516"/>
          <a:ext cx="549138" cy="669243"/>
        </a:xfrm>
        <a:prstGeom prst="rect">
          <a:avLst/>
        </a:prstGeom>
      </xdr:spPr>
    </xdr:pic>
    <xdr:clientData/>
  </xdr:twoCellAnchor>
  <xdr:twoCellAnchor editAs="oneCell">
    <xdr:from>
      <xdr:col>4</xdr:col>
      <xdr:colOff>2565485</xdr:colOff>
      <xdr:row>20</xdr:row>
      <xdr:rowOff>71676</xdr:rowOff>
    </xdr:from>
    <xdr:to>
      <xdr:col>4</xdr:col>
      <xdr:colOff>3110549</xdr:colOff>
      <xdr:row>20</xdr:row>
      <xdr:rowOff>726246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9101FF-D4D3-4768-8652-995CD2396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010" y="12301776"/>
          <a:ext cx="545064" cy="654570"/>
        </a:xfrm>
        <a:prstGeom prst="rect">
          <a:avLst/>
        </a:prstGeom>
      </xdr:spPr>
    </xdr:pic>
    <xdr:clientData/>
  </xdr:twoCellAnchor>
  <xdr:twoCellAnchor editAs="oneCell">
    <xdr:from>
      <xdr:col>4</xdr:col>
      <xdr:colOff>1960218</xdr:colOff>
      <xdr:row>20</xdr:row>
      <xdr:rowOff>55217</xdr:rowOff>
    </xdr:from>
    <xdr:to>
      <xdr:col>4</xdr:col>
      <xdr:colOff>2500666</xdr:colOff>
      <xdr:row>20</xdr:row>
      <xdr:rowOff>723205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E0C7C1-19A8-49AF-89DC-7892EF16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43" y="12285317"/>
          <a:ext cx="540448" cy="667988"/>
        </a:xfrm>
        <a:prstGeom prst="rect">
          <a:avLst/>
        </a:prstGeom>
      </xdr:spPr>
    </xdr:pic>
    <xdr:clientData/>
  </xdr:twoCellAnchor>
  <xdr:twoCellAnchor editAs="oneCell">
    <xdr:from>
      <xdr:col>4</xdr:col>
      <xdr:colOff>1357075</xdr:colOff>
      <xdr:row>20</xdr:row>
      <xdr:rowOff>60527</xdr:rowOff>
    </xdr:from>
    <xdr:to>
      <xdr:col>4</xdr:col>
      <xdr:colOff>1912177</xdr:colOff>
      <xdr:row>20</xdr:row>
      <xdr:rowOff>721600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F3E9DC-B258-4528-B036-CE9D8504C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600" y="12290627"/>
          <a:ext cx="555102" cy="661073"/>
        </a:xfrm>
        <a:prstGeom prst="rect">
          <a:avLst/>
        </a:prstGeom>
      </xdr:spPr>
    </xdr:pic>
    <xdr:clientData/>
  </xdr:twoCellAnchor>
  <xdr:twoCellAnchor editAs="oneCell">
    <xdr:from>
      <xdr:col>4</xdr:col>
      <xdr:colOff>745435</xdr:colOff>
      <xdr:row>20</xdr:row>
      <xdr:rowOff>55217</xdr:rowOff>
    </xdr:from>
    <xdr:to>
      <xdr:col>4</xdr:col>
      <xdr:colOff>1300536</xdr:colOff>
      <xdr:row>20</xdr:row>
      <xdr:rowOff>726327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AF784E-0B08-489F-8E37-08049A24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960" y="12285317"/>
          <a:ext cx="555101" cy="671110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138043</xdr:colOff>
      <xdr:row>20</xdr:row>
      <xdr:rowOff>69022</xdr:rowOff>
    </xdr:from>
    <xdr:to>
      <xdr:col>4</xdr:col>
      <xdr:colOff>689871</xdr:colOff>
      <xdr:row>20</xdr:row>
      <xdr:rowOff>725076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463633-A505-4CE4-BDA8-40900D408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568" y="12299122"/>
          <a:ext cx="551828" cy="656054"/>
        </a:xfrm>
        <a:prstGeom prst="rect">
          <a:avLst/>
        </a:prstGeom>
      </xdr:spPr>
    </xdr:pic>
    <xdr:clientData/>
  </xdr:twoCellAnchor>
  <xdr:twoCellAnchor editAs="oneCell">
    <xdr:from>
      <xdr:col>4</xdr:col>
      <xdr:colOff>122903</xdr:colOff>
      <xdr:row>107</xdr:row>
      <xdr:rowOff>138267</xdr:rowOff>
    </xdr:from>
    <xdr:to>
      <xdr:col>4</xdr:col>
      <xdr:colOff>678005</xdr:colOff>
      <xdr:row>107</xdr:row>
      <xdr:rowOff>742190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727B0B-71CA-4646-9CFC-1C7CE5133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919" y="115298590"/>
          <a:ext cx="555102" cy="603923"/>
        </a:xfrm>
        <a:prstGeom prst="rect">
          <a:avLst/>
        </a:prstGeom>
      </xdr:spPr>
    </xdr:pic>
    <xdr:clientData/>
  </xdr:twoCellAnchor>
  <xdr:oneCellAnchor>
    <xdr:from>
      <xdr:col>4</xdr:col>
      <xdr:colOff>199718</xdr:colOff>
      <xdr:row>137</xdr:row>
      <xdr:rowOff>307258</xdr:rowOff>
    </xdr:from>
    <xdr:ext cx="551828" cy="656054"/>
    <xdr:pic>
      <xdr:nvPicPr>
        <xdr:cNvPr id="8" name="Picture 7">
          <a:extLst>
            <a:ext uri="{FF2B5EF4-FFF2-40B4-BE49-F238E27FC236}">
              <a16:creationId xmlns:a16="http://schemas.microsoft.com/office/drawing/2014/main" id="{812DD7D0-8B5D-42F0-8397-75C914F9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734" y="144488105"/>
          <a:ext cx="551828" cy="656054"/>
        </a:xfrm>
        <a:prstGeom prst="rect">
          <a:avLst/>
        </a:prstGeom>
      </xdr:spPr>
    </xdr:pic>
    <xdr:clientData/>
  </xdr:oneCellAnchor>
  <xdr:oneCellAnchor>
    <xdr:from>
      <xdr:col>4</xdr:col>
      <xdr:colOff>76815</xdr:colOff>
      <xdr:row>109</xdr:row>
      <xdr:rowOff>351788</xdr:rowOff>
    </xdr:from>
    <xdr:ext cx="555102" cy="603923"/>
    <xdr:pic>
      <xdr:nvPicPr>
        <xdr:cNvPr id="9" name="Picture 8">
          <a:extLst>
            <a:ext uri="{FF2B5EF4-FFF2-40B4-BE49-F238E27FC236}">
              <a16:creationId xmlns:a16="http://schemas.microsoft.com/office/drawing/2014/main" id="{8A9EFDE0-9E56-4673-B693-81DD697F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831" y="119398925"/>
          <a:ext cx="555102" cy="603923"/>
        </a:xfrm>
        <a:prstGeom prst="rect">
          <a:avLst/>
        </a:prstGeom>
      </xdr:spPr>
    </xdr:pic>
    <xdr:clientData/>
  </xdr:oneCellAnchor>
  <xdr:oneCellAnchor>
    <xdr:from>
      <xdr:col>4</xdr:col>
      <xdr:colOff>670401</xdr:colOff>
      <xdr:row>109</xdr:row>
      <xdr:rowOff>351788</xdr:rowOff>
    </xdr:from>
    <xdr:ext cx="540448" cy="582263"/>
    <xdr:pic>
      <xdr:nvPicPr>
        <xdr:cNvPr id="10" name="Picture 9">
          <a:extLst>
            <a:ext uri="{FF2B5EF4-FFF2-40B4-BE49-F238E27FC236}">
              <a16:creationId xmlns:a16="http://schemas.microsoft.com/office/drawing/2014/main" id="{22605DC8-C1AB-479A-AA54-A7C8688D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7417" y="119398925"/>
          <a:ext cx="540448" cy="582263"/>
        </a:xfrm>
        <a:prstGeom prst="rect">
          <a:avLst/>
        </a:prstGeom>
      </xdr:spPr>
    </xdr:pic>
    <xdr:clientData/>
  </xdr:oneCellAnchor>
  <xdr:oneCellAnchor>
    <xdr:from>
      <xdr:col>4</xdr:col>
      <xdr:colOff>1250183</xdr:colOff>
      <xdr:row>109</xdr:row>
      <xdr:rowOff>337984</xdr:rowOff>
    </xdr:from>
    <xdr:ext cx="575501" cy="641273"/>
    <xdr:pic>
      <xdr:nvPicPr>
        <xdr:cNvPr id="11" name="Picture 10">
          <a:extLst>
            <a:ext uri="{FF2B5EF4-FFF2-40B4-BE49-F238E27FC236}">
              <a16:creationId xmlns:a16="http://schemas.microsoft.com/office/drawing/2014/main" id="{FE008975-18D4-4EAB-B1E6-0BAF92FBB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199" y="119385121"/>
          <a:ext cx="575501" cy="641273"/>
        </a:xfrm>
        <a:prstGeom prst="rect">
          <a:avLst/>
        </a:prstGeom>
      </xdr:spPr>
    </xdr:pic>
    <xdr:clientData/>
  </xdr:oneCellAnchor>
  <xdr:oneCellAnchor>
    <xdr:from>
      <xdr:col>4</xdr:col>
      <xdr:colOff>1871379</xdr:colOff>
      <xdr:row>109</xdr:row>
      <xdr:rowOff>351788</xdr:rowOff>
    </xdr:from>
    <xdr:ext cx="545064" cy="625995"/>
    <xdr:pic>
      <xdr:nvPicPr>
        <xdr:cNvPr id="12" name="Picture 11">
          <a:extLst>
            <a:ext uri="{FF2B5EF4-FFF2-40B4-BE49-F238E27FC236}">
              <a16:creationId xmlns:a16="http://schemas.microsoft.com/office/drawing/2014/main" id="{28491501-113C-4342-9E22-2DBD0A822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395" y="119398925"/>
          <a:ext cx="545064" cy="625995"/>
        </a:xfrm>
        <a:prstGeom prst="rect">
          <a:avLst/>
        </a:prstGeom>
      </xdr:spPr>
    </xdr:pic>
    <xdr:clientData/>
  </xdr:oneCellAnchor>
  <xdr:oneCellAnchor>
    <xdr:from>
      <xdr:col>4</xdr:col>
      <xdr:colOff>92178</xdr:colOff>
      <xdr:row>57</xdr:row>
      <xdr:rowOff>245806</xdr:rowOff>
    </xdr:from>
    <xdr:ext cx="555102" cy="665031"/>
    <xdr:pic>
      <xdr:nvPicPr>
        <xdr:cNvPr id="13" name="Picture 12">
          <a:extLst>
            <a:ext uri="{FF2B5EF4-FFF2-40B4-BE49-F238E27FC236}">
              <a16:creationId xmlns:a16="http://schemas.microsoft.com/office/drawing/2014/main" id="{C3C1B3F5-C38E-4DC4-903E-F6EE55E7D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194" y="59777056"/>
          <a:ext cx="555102" cy="66503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is\Downloads\RKP%20Bahan%20Musrenbang%20Prioritas%20Pengguaan%20D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is\Documents\New%20Folder\DATA%202022\RKP%20INDUK%20PR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I"/>
      <sheetName val="BID II"/>
      <sheetName val="BID III"/>
      <sheetName val="BID IV"/>
      <sheetName val="RKP 2023"/>
      <sheetName val="Daftar Prioritas"/>
      <sheetName val="PRIORITAS DD"/>
      <sheetName val="Sheet2"/>
      <sheetName val="DU RKP"/>
    </sheetNames>
    <sheetDataSet>
      <sheetData sheetId="0" refreshError="1">
        <row r="948">
          <cell r="B948" t="str">
            <v>: Penyusunan/ Pendataan/Pemuktahiran Profil Desa (Pendataan SDGs Desa )</v>
          </cell>
        </row>
        <row r="992">
          <cell r="F992">
            <v>81828500</v>
          </cell>
        </row>
        <row r="1086">
          <cell r="B1086" t="str">
            <v>Penyelenggaraan Musyawarah Desa/ Pembahasan APBDes (Musrenbangdes)</v>
          </cell>
        </row>
        <row r="1114">
          <cell r="F1114">
            <v>12860000</v>
          </cell>
        </row>
        <row r="1130">
          <cell r="B1130" t="str">
            <v>Penyelenggaraan Musyawarah Desa/ Pembahasan APBDes (Musdes, Musrenbangdes/pra musrenbangdes, dll yang bersifat reguler )</v>
          </cell>
        </row>
        <row r="1158">
          <cell r="F1158">
            <v>43416000</v>
          </cell>
        </row>
      </sheetData>
      <sheetData sheetId="1" refreshError="1">
        <row r="7">
          <cell r="B7" t="str">
            <v>Penyelenggaraan PAUD/TK/TKA/ Madrasah Non Formal Milik Desa (Pengelolaan Taman Kanak - kanak  TK Kumara Sari VI )</v>
          </cell>
        </row>
        <row r="212">
          <cell r="B212" t="str">
            <v>Pemeliharaan Sarana dan Prasarana TK Milik Desa (Pembangunan Ruang Komputer)</v>
          </cell>
        </row>
        <row r="290">
          <cell r="B290" t="str">
            <v>: Posyandu Remaja</v>
          </cell>
        </row>
        <row r="338">
          <cell r="B338" t="str">
            <v>: Penyelenggaraan Posyandu (Pemberian PMT)</v>
          </cell>
        </row>
        <row r="394">
          <cell r="B394" t="str">
            <v>: Penyelenggaraan POSyandu (Pos Gizi dan Ibu Hamil)</v>
          </cell>
        </row>
        <row r="436">
          <cell r="B436" t="str">
            <v xml:space="preserve"> :  Pengasuhan Bersama atau Bina Keluarga Balita (Pelaksanaan Kegiatan Bina keluarga Balita BKB )</v>
          </cell>
        </row>
        <row r="484">
          <cell r="B484" t="str">
            <v xml:space="preserve"> :  Pengasuhan Bersama atau Bina Keluarga Lansia (Pelaksanaan Kegiatan Bina keluarga lansia BKL )</v>
          </cell>
        </row>
        <row r="527">
          <cell r="B527" t="str">
            <v>: Penyuluhan dan Pelatihan Bidang Kesehatan (Pembinaan Kader POSyandu)</v>
          </cell>
        </row>
        <row r="567">
          <cell r="B567" t="str">
            <v>: Penyuluhan dan Pelatihan Bidang Kesehatan(Sosialisasi Stunting)</v>
          </cell>
        </row>
        <row r="613">
          <cell r="B613" t="str">
            <v>: Penyuluhan dan Pelatihan Bidang Kesehatan (Penyuluhan Narkoba dan HIV/AIDS)</v>
          </cell>
        </row>
        <row r="663">
          <cell r="B663" t="str">
            <v>: Penyuluhan dan Pelatihan Bidang Kesehatan (Pemberian tambahan nutrisi bagi lansia)</v>
          </cell>
        </row>
        <row r="703">
          <cell r="B703" t="str">
            <v>: Penyuluhan dan Pelatihan Bidang Kesehatan (Posbindu)</v>
          </cell>
        </row>
        <row r="764">
          <cell r="B764" t="str">
            <v>: Penyuluhan dan Pelatihan Bidang Kesehatan (Penyuluhan KB)</v>
          </cell>
        </row>
        <row r="823">
          <cell r="B823" t="str">
            <v>: Penyuluhan dan Pelatihan Bidang Kesehatan (Desa Siaga Kesehatan)</v>
          </cell>
        </row>
        <row r="867">
          <cell r="B867" t="str">
            <v xml:space="preserve"> :Pengasuhan Bersama atau Bina Keluarga Balita (Pembinaan  kader BKB)</v>
          </cell>
        </row>
        <row r="907">
          <cell r="B907" t="str">
            <v xml:space="preserve"> :  Pengasuhan Bersama atau Bina Keluarga Balita (Pembinaan Kegiatan Bina keluarga Remaja BKR )</v>
          </cell>
        </row>
        <row r="954">
          <cell r="B954" t="str">
            <v xml:space="preserve"> :  Pengasuhan Bersama atau Bina Keluarga Remaja (Penyelenggaraan BKR)</v>
          </cell>
        </row>
        <row r="987">
          <cell r="B987" t="str">
            <v xml:space="preserve"> :Pendampingan calon pengantin</v>
          </cell>
        </row>
        <row r="1201">
          <cell r="B1201" t="str">
            <v>: Penyelengggaraan Rumah Desa Sehat</v>
          </cell>
        </row>
        <row r="1539">
          <cell r="B1539" t="str">
            <v>: Pemeliharaan Prasarana Jalan Desa (Penggelontoran Gorong Gorong ,saluran air subak Taman Munduk Uma DiwangPKTD)</v>
          </cell>
        </row>
        <row r="1573">
          <cell r="B1573" t="str">
            <v>: Pemeliharaan Prasarana Jalan Desa (Penggelontoran Gorong Gorong ,saluran air sepanjang jalan siulan)</v>
          </cell>
        </row>
      </sheetData>
      <sheetData sheetId="2" refreshError="1"/>
      <sheetData sheetId="3" refreshError="1">
        <row r="58">
          <cell r="B58" t="str">
            <v>: Peningkatan Produksi Tanaman Pangan ( Produk Unggulan Desa) Pelatihan Budidaya Jamur</v>
          </cell>
        </row>
        <row r="110">
          <cell r="B110" t="str">
            <v>: Pelatihan Kelompok Madu Kele-Kele</v>
          </cell>
        </row>
        <row r="162">
          <cell r="B162" t="str">
            <v>: Penguatan Ketahanan Pangan Tingkat Desa ( lumbung Desa dll)</v>
          </cell>
        </row>
        <row r="380">
          <cell r="B380" t="str">
            <v xml:space="preserve">: Pelatihan/ Penyuluhan Pemberdayaan Perempuan (Pelatihan Pembuatan Jamu Tradisional  ) </v>
          </cell>
        </row>
        <row r="513">
          <cell r="B513" t="str">
            <v>: Pelatihan Tukang (Pelatihan Baja Ringan)</v>
          </cell>
        </row>
        <row r="582">
          <cell r="B582" t="str">
            <v>: Penyertaan Modal BUMDesa</v>
          </cell>
        </row>
      </sheetData>
      <sheetData sheetId="4" refreshError="1">
        <row r="47">
          <cell r="L47">
            <v>350478057.09000003</v>
          </cell>
        </row>
        <row r="49">
          <cell r="L49">
            <v>211772294</v>
          </cell>
        </row>
        <row r="50">
          <cell r="L50">
            <v>16110000</v>
          </cell>
        </row>
        <row r="51">
          <cell r="L51">
            <v>249118000</v>
          </cell>
        </row>
        <row r="52">
          <cell r="L52">
            <v>4230000</v>
          </cell>
        </row>
        <row r="53">
          <cell r="L53">
            <v>56775000</v>
          </cell>
        </row>
        <row r="54">
          <cell r="L54">
            <v>8340000</v>
          </cell>
        </row>
        <row r="55">
          <cell r="L55">
            <v>1830000</v>
          </cell>
        </row>
        <row r="56">
          <cell r="L56">
            <v>2740000</v>
          </cell>
        </row>
        <row r="57">
          <cell r="L57">
            <v>19940000</v>
          </cell>
        </row>
        <row r="58">
          <cell r="L58">
            <v>101104000</v>
          </cell>
        </row>
        <row r="59">
          <cell r="L59">
            <v>14295000</v>
          </cell>
        </row>
        <row r="60">
          <cell r="L60">
            <v>17685000</v>
          </cell>
        </row>
        <row r="61">
          <cell r="L61">
            <v>2665000</v>
          </cell>
        </row>
        <row r="62">
          <cell r="L62">
            <v>2385000</v>
          </cell>
        </row>
        <row r="63">
          <cell r="L63">
            <v>1690000</v>
          </cell>
        </row>
        <row r="64">
          <cell r="L64">
            <v>8040000</v>
          </cell>
        </row>
        <row r="65">
          <cell r="L65">
            <v>5757500</v>
          </cell>
        </row>
        <row r="69">
          <cell r="L69">
            <v>6127385</v>
          </cell>
        </row>
        <row r="77">
          <cell r="L77">
            <v>30140000</v>
          </cell>
        </row>
        <row r="78">
          <cell r="L78">
            <v>37420000</v>
          </cell>
        </row>
        <row r="94">
          <cell r="D94" t="str">
            <v>: Penguatan Dan Peningkatan Kapasitas Tenaga Keamanan dan Ketertiban Oleh Pemerintah Desa( Pembentukan Tim Tanggap Bencana)</v>
          </cell>
        </row>
        <row r="116">
          <cell r="H116" t="str">
            <v>Desa Penatih Dangin Puri</v>
          </cell>
        </row>
        <row r="121">
          <cell r="D121" t="str">
            <v>: Pelatihan untuk Perikanan Darat (Pelatihan Membuat Pakan Ikan Lele)  **</v>
          </cell>
          <cell r="H121" t="str">
            <v>Desa Penatih Dangin Puri</v>
          </cell>
          <cell r="I121" t="str">
            <v>1kali</v>
          </cell>
          <cell r="L121">
            <v>27128000</v>
          </cell>
        </row>
        <row r="122">
          <cell r="H122" t="str">
            <v>Desa Penatih Dangin Puri</v>
          </cell>
          <cell r="I122" t="str">
            <v>1kali</v>
          </cell>
          <cell r="L122">
            <v>26425000</v>
          </cell>
        </row>
        <row r="123">
          <cell r="H123" t="str">
            <v>Desa Penatih Dangin Puri</v>
          </cell>
          <cell r="I123" t="str">
            <v>1kali</v>
          </cell>
          <cell r="L123">
            <v>20715000</v>
          </cell>
        </row>
        <row r="124">
          <cell r="I124" t="str">
            <v>1kali</v>
          </cell>
          <cell r="L124">
            <v>51210000</v>
          </cell>
        </row>
        <row r="128">
          <cell r="H128" t="str">
            <v>Desa Penatih Dangin Puri</v>
          </cell>
        </row>
        <row r="129">
          <cell r="I129" t="str">
            <v>1kali</v>
          </cell>
          <cell r="L129">
            <v>4090000</v>
          </cell>
        </row>
        <row r="131">
          <cell r="H131" t="str">
            <v>Desa Penatih Dangin Puri</v>
          </cell>
          <cell r="I131" t="str">
            <v>1kali</v>
          </cell>
          <cell r="L131">
            <v>9792000</v>
          </cell>
        </row>
        <row r="132">
          <cell r="H132" t="str">
            <v>Desa Penatih Dangin Puri</v>
          </cell>
          <cell r="I132" t="str">
            <v>1kali</v>
          </cell>
          <cell r="L132">
            <v>30000000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 UP 2"/>
      <sheetName val="RAB 2"/>
      <sheetName val="DAFTAR RPDK MASUK DESA"/>
      <sheetName val="RPPD"/>
      <sheetName val="BID I"/>
      <sheetName val="BID II"/>
      <sheetName val=" BID III"/>
      <sheetName val="BID IV"/>
      <sheetName val="RKP DESA"/>
      <sheetName val="Daftar Usulan SDGs VI.B"/>
      <sheetName val="PRIORITAS USULAN VI.A"/>
      <sheetName val="KERJA SAMA ANTAR DESA VI.C"/>
      <sheetName val="LPPK"/>
      <sheetName val="KERJASAMA PIHAK KE 3 VI.D"/>
      <sheetName val="RENCANA PEMBIAYAAN DESA"/>
      <sheetName val="DU RKP"/>
      <sheetName val="Sheet2"/>
      <sheetName val="conto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F14">
            <v>48000000</v>
          </cell>
        </row>
        <row r="42">
          <cell r="F42">
            <v>33600000</v>
          </cell>
        </row>
        <row r="43">
          <cell r="F43">
            <v>172800000</v>
          </cell>
        </row>
        <row r="44">
          <cell r="F44">
            <v>230400000</v>
          </cell>
        </row>
        <row r="81">
          <cell r="F81">
            <v>480000</v>
          </cell>
        </row>
        <row r="83">
          <cell r="F83">
            <v>336000</v>
          </cell>
        </row>
        <row r="84">
          <cell r="F84">
            <v>1994616</v>
          </cell>
        </row>
        <row r="85">
          <cell r="F85">
            <v>2659488</v>
          </cell>
        </row>
      </sheetData>
      <sheetData sheetId="5">
        <row r="398">
          <cell r="F398">
            <v>9812000</v>
          </cell>
        </row>
      </sheetData>
      <sheetData sheetId="6">
        <row r="105">
          <cell r="F105">
            <v>4150000</v>
          </cell>
        </row>
      </sheetData>
      <sheetData sheetId="7">
        <row r="51">
          <cell r="F51">
            <v>84041200</v>
          </cell>
        </row>
      </sheetData>
      <sheetData sheetId="8">
        <row r="12">
          <cell r="L12">
            <v>160400000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7"/>
  <sheetViews>
    <sheetView zoomScale="90" zoomScaleNormal="90" workbookViewId="0">
      <pane ySplit="1095" topLeftCell="A252" activePane="bottomLeft"/>
      <selection activeCell="T1" sqref="T1"/>
      <selection pane="bottomLeft" activeCell="B265" sqref="B265"/>
    </sheetView>
  </sheetViews>
  <sheetFormatPr defaultColWidth="8.7109375" defaultRowHeight="15" x14ac:dyDescent="0.25"/>
  <cols>
    <col min="1" max="1" width="16.42578125" customWidth="1"/>
    <col min="2" max="2" width="30.85546875" customWidth="1"/>
    <col min="3" max="3" width="7.7109375" customWidth="1"/>
    <col min="4" max="4" width="5.85546875" customWidth="1"/>
    <col min="5" max="5" width="17.140625" customWidth="1"/>
    <col min="6" max="6" width="18.85546875" customWidth="1"/>
    <col min="7" max="7" width="7.28515625" customWidth="1"/>
    <col min="8" max="8" width="16.85546875" bestFit="1" customWidth="1"/>
    <col min="9" max="9" width="14.5703125" bestFit="1" customWidth="1"/>
    <col min="10" max="10" width="20.85546875" customWidth="1"/>
    <col min="11" max="11" width="21.28515625" customWidth="1"/>
    <col min="12" max="13" width="11.85546875" customWidth="1"/>
    <col min="14" max="14" width="15.42578125" customWidth="1"/>
    <col min="15" max="15" width="11.85546875" customWidth="1"/>
    <col min="16" max="16" width="16.42578125" customWidth="1"/>
    <col min="17" max="17" width="15" customWidth="1"/>
    <col min="18" max="18" width="11.85546875" customWidth="1"/>
    <col min="19" max="19" width="14.140625" customWidth="1"/>
    <col min="20" max="20" width="16" customWidth="1"/>
    <col min="21" max="21" width="11.85546875" customWidth="1"/>
    <col min="22" max="22" width="18.42578125" customWidth="1"/>
    <col min="23" max="23" width="23.28515625" customWidth="1"/>
    <col min="24" max="24" width="11.85546875" customWidth="1"/>
    <col min="25" max="25" width="17.7109375" customWidth="1"/>
  </cols>
  <sheetData>
    <row r="1" spans="1:25" x14ac:dyDescent="0.25">
      <c r="A1" s="1765" t="s">
        <v>0</v>
      </c>
      <c r="B1" s="1765"/>
      <c r="C1" s="1765"/>
      <c r="D1" s="1765"/>
      <c r="E1" s="1765"/>
      <c r="F1" s="1765"/>
      <c r="G1" s="1765"/>
      <c r="I1" t="s">
        <v>1711</v>
      </c>
      <c r="J1" t="s">
        <v>1409</v>
      </c>
      <c r="K1" t="s">
        <v>1845</v>
      </c>
      <c r="L1" t="s">
        <v>2565</v>
      </c>
      <c r="M1" t="s">
        <v>1605</v>
      </c>
      <c r="N1" t="s">
        <v>2566</v>
      </c>
      <c r="O1" t="s">
        <v>2567</v>
      </c>
      <c r="P1" t="s">
        <v>1417</v>
      </c>
      <c r="Q1" t="s">
        <v>2568</v>
      </c>
      <c r="R1" t="s">
        <v>2569</v>
      </c>
      <c r="S1" t="s">
        <v>2570</v>
      </c>
      <c r="T1" t="s">
        <v>2571</v>
      </c>
      <c r="U1" t="s">
        <v>2572</v>
      </c>
      <c r="V1" t="s">
        <v>2573</v>
      </c>
      <c r="W1" t="s">
        <v>2574</v>
      </c>
      <c r="X1" t="s">
        <v>2575</v>
      </c>
      <c r="Y1" s="5" t="s">
        <v>2922</v>
      </c>
    </row>
    <row r="2" spans="1:25" ht="16.5" customHeight="1" x14ac:dyDescent="0.25">
      <c r="A2" s="1765" t="s">
        <v>1</v>
      </c>
      <c r="B2" s="1765"/>
      <c r="C2" s="1765"/>
      <c r="D2" s="1765"/>
      <c r="E2" s="1765"/>
      <c r="F2" s="1765"/>
      <c r="G2" s="1765"/>
      <c r="I2" s="83">
        <f t="shared" ref="I2:Y2" si="0">SUM(I3:I1494)</f>
        <v>31110700</v>
      </c>
      <c r="J2" s="83">
        <f t="shared" si="0"/>
        <v>1228342564</v>
      </c>
      <c r="K2" s="83">
        <f t="shared" si="0"/>
        <v>1950066177.2</v>
      </c>
      <c r="L2" s="83">
        <f t="shared" si="0"/>
        <v>0</v>
      </c>
      <c r="M2" s="83">
        <f t="shared" si="0"/>
        <v>0</v>
      </c>
      <c r="N2" s="83">
        <f t="shared" si="0"/>
        <v>74400000</v>
      </c>
      <c r="O2" s="83">
        <f t="shared" si="0"/>
        <v>1020000</v>
      </c>
      <c r="P2" s="83">
        <f t="shared" si="0"/>
        <v>127672600</v>
      </c>
      <c r="Q2" s="83">
        <f t="shared" si="0"/>
        <v>31000000</v>
      </c>
      <c r="R2" s="83">
        <f t="shared" si="0"/>
        <v>0</v>
      </c>
      <c r="S2" s="83">
        <f t="shared" si="0"/>
        <v>126879000</v>
      </c>
      <c r="T2" s="83">
        <f t="shared" si="0"/>
        <v>118176000</v>
      </c>
      <c r="U2" s="83">
        <f t="shared" si="0"/>
        <v>0</v>
      </c>
      <c r="V2" s="83">
        <f t="shared" si="0"/>
        <v>80817633</v>
      </c>
      <c r="W2" s="83">
        <f t="shared" si="0"/>
        <v>11249100.75</v>
      </c>
      <c r="X2" s="83">
        <f t="shared" si="0"/>
        <v>300000</v>
      </c>
      <c r="Y2" s="83">
        <f t="shared" si="0"/>
        <v>21250000</v>
      </c>
    </row>
    <row r="3" spans="1:25" x14ac:dyDescent="0.25">
      <c r="A3" s="1765" t="s">
        <v>1769</v>
      </c>
      <c r="B3" s="1765"/>
      <c r="C3" s="1765"/>
      <c r="D3" s="1765"/>
      <c r="E3" s="1765"/>
      <c r="F3" s="1765"/>
      <c r="G3" s="1765"/>
    </row>
    <row r="4" spans="1:25" x14ac:dyDescent="0.25">
      <c r="A4" s="184"/>
      <c r="B4" s="184"/>
      <c r="C4" s="184"/>
      <c r="D4" s="184"/>
      <c r="E4" s="184"/>
      <c r="F4" s="184"/>
      <c r="G4" s="185"/>
    </row>
    <row r="5" spans="1:25" x14ac:dyDescent="0.25">
      <c r="A5" s="186" t="s">
        <v>2</v>
      </c>
      <c r="B5" s="187" t="s">
        <v>3</v>
      </c>
      <c r="C5" s="188"/>
      <c r="D5" s="189"/>
      <c r="E5" s="190"/>
      <c r="F5" s="191"/>
      <c r="G5" s="188"/>
    </row>
    <row r="6" spans="1:25" ht="36.75" x14ac:dyDescent="0.25">
      <c r="A6" s="192" t="s">
        <v>4</v>
      </c>
      <c r="B6" s="187" t="s">
        <v>5</v>
      </c>
      <c r="C6" s="188"/>
      <c r="D6" s="189"/>
      <c r="E6" s="193" t="s">
        <v>6</v>
      </c>
      <c r="F6" s="194"/>
      <c r="G6" s="188"/>
    </row>
    <row r="7" spans="1:25" ht="24.75" x14ac:dyDescent="0.25">
      <c r="A7" s="192" t="s">
        <v>7</v>
      </c>
      <c r="B7" s="187" t="s">
        <v>8</v>
      </c>
      <c r="C7" s="188"/>
      <c r="D7" s="189"/>
      <c r="E7" s="195" t="s">
        <v>9</v>
      </c>
      <c r="F7" s="196"/>
      <c r="G7" s="188"/>
    </row>
    <row r="8" spans="1:25" x14ac:dyDescent="0.25">
      <c r="A8" s="192" t="s">
        <v>35</v>
      </c>
      <c r="B8" s="187"/>
      <c r="C8" s="188"/>
      <c r="D8" s="189"/>
      <c r="E8" s="190"/>
      <c r="F8" s="191"/>
      <c r="G8" s="188"/>
    </row>
    <row r="9" spans="1:25" x14ac:dyDescent="0.25">
      <c r="A9" s="192" t="s">
        <v>10</v>
      </c>
      <c r="B9" s="187"/>
      <c r="C9" s="188"/>
      <c r="D9" s="189"/>
      <c r="E9" s="190"/>
      <c r="F9" s="191"/>
      <c r="G9" s="188"/>
    </row>
    <row r="10" spans="1:25" x14ac:dyDescent="0.25">
      <c r="A10" s="1825"/>
      <c r="B10" s="1825"/>
      <c r="C10" s="1825"/>
      <c r="D10" s="1825"/>
      <c r="E10" s="1825"/>
      <c r="F10" s="1825"/>
      <c r="G10" s="1825"/>
    </row>
    <row r="11" spans="1:25" ht="24" x14ac:dyDescent="0.25">
      <c r="A11" s="197" t="s">
        <v>30</v>
      </c>
      <c r="B11" s="198" t="s">
        <v>31</v>
      </c>
      <c r="C11" s="1773" t="s">
        <v>12</v>
      </c>
      <c r="D11" s="1774"/>
      <c r="E11" s="198" t="s">
        <v>32</v>
      </c>
      <c r="F11" s="199" t="s">
        <v>33</v>
      </c>
      <c r="G11" s="197" t="s">
        <v>34</v>
      </c>
    </row>
    <row r="12" spans="1:25" x14ac:dyDescent="0.25">
      <c r="A12" s="200">
        <v>1</v>
      </c>
      <c r="B12" s="200">
        <v>2</v>
      </c>
      <c r="C12" s="1789">
        <v>3</v>
      </c>
      <c r="D12" s="1789"/>
      <c r="E12" s="201">
        <v>4</v>
      </c>
      <c r="F12" s="202">
        <v>5</v>
      </c>
      <c r="G12" s="202">
        <v>6</v>
      </c>
    </row>
    <row r="13" spans="1:25" x14ac:dyDescent="0.25">
      <c r="A13" s="203" t="s">
        <v>15</v>
      </c>
      <c r="B13" s="204" t="s">
        <v>16</v>
      </c>
      <c r="C13" s="205"/>
      <c r="D13" s="206"/>
      <c r="E13" s="207"/>
      <c r="F13" s="208"/>
      <c r="G13" s="209"/>
    </row>
    <row r="14" spans="1:25" ht="24.75" customHeight="1" x14ac:dyDescent="0.25">
      <c r="A14" s="203" t="s">
        <v>17</v>
      </c>
      <c r="B14" s="204" t="s">
        <v>18</v>
      </c>
      <c r="C14" s="210"/>
      <c r="D14" s="211"/>
      <c r="E14" s="207"/>
      <c r="F14" s="208"/>
      <c r="G14" s="209"/>
    </row>
    <row r="15" spans="1:25" x14ac:dyDescent="0.25">
      <c r="A15" s="212" t="s">
        <v>19</v>
      </c>
      <c r="B15" s="213" t="s">
        <v>20</v>
      </c>
      <c r="C15" s="214">
        <v>12</v>
      </c>
      <c r="D15" s="206" t="s">
        <v>21</v>
      </c>
      <c r="E15" s="215">
        <v>5445000</v>
      </c>
      <c r="F15" s="216">
        <f>C15*E15</f>
        <v>65340000</v>
      </c>
      <c r="G15" s="209" t="s">
        <v>1409</v>
      </c>
      <c r="H15" s="83"/>
      <c r="J15" s="36">
        <f>F15</f>
        <v>65340000</v>
      </c>
    </row>
    <row r="16" spans="1:25" x14ac:dyDescent="0.25">
      <c r="A16" s="212" t="s">
        <v>22</v>
      </c>
      <c r="B16" s="213" t="s">
        <v>23</v>
      </c>
      <c r="C16" s="214">
        <v>1</v>
      </c>
      <c r="D16" s="206" t="s">
        <v>21</v>
      </c>
      <c r="E16" s="215">
        <v>5500000</v>
      </c>
      <c r="F16" s="216">
        <f>C16*E16</f>
        <v>5500000</v>
      </c>
      <c r="G16" s="209" t="s">
        <v>1845</v>
      </c>
      <c r="H16" s="32"/>
      <c r="K16" s="36">
        <f>F16</f>
        <v>5500000</v>
      </c>
    </row>
    <row r="17" spans="1:11" x14ac:dyDescent="0.25">
      <c r="A17" s="212" t="s">
        <v>22</v>
      </c>
      <c r="B17" s="213" t="s">
        <v>24</v>
      </c>
      <c r="C17" s="214">
        <v>12</v>
      </c>
      <c r="D17" s="206" t="s">
        <v>21</v>
      </c>
      <c r="E17" s="215">
        <v>8700000</v>
      </c>
      <c r="F17" s="216">
        <f>C17*E17</f>
        <v>104400000</v>
      </c>
      <c r="G17" s="209" t="s">
        <v>1845</v>
      </c>
      <c r="K17" s="36">
        <f>F17</f>
        <v>104400000</v>
      </c>
    </row>
    <row r="18" spans="1:11" x14ac:dyDescent="0.25">
      <c r="A18" s="212" t="s">
        <v>22</v>
      </c>
      <c r="B18" s="213" t="s">
        <v>25</v>
      </c>
      <c r="C18" s="214">
        <v>1</v>
      </c>
      <c r="D18" s="206" t="s">
        <v>21</v>
      </c>
      <c r="E18" s="215">
        <v>5500000</v>
      </c>
      <c r="F18" s="216">
        <f>E18*C18</f>
        <v>5500000</v>
      </c>
      <c r="G18" s="209" t="s">
        <v>1845</v>
      </c>
      <c r="K18" s="36">
        <f>F18</f>
        <v>5500000</v>
      </c>
    </row>
    <row r="19" spans="1:11" x14ac:dyDescent="0.25">
      <c r="A19" s="212"/>
      <c r="B19" s="213"/>
      <c r="C19" s="214"/>
      <c r="D19" s="206"/>
      <c r="E19" s="215"/>
      <c r="F19" s="216"/>
      <c r="G19" s="209"/>
    </row>
    <row r="20" spans="1:11" x14ac:dyDescent="0.25">
      <c r="A20" s="1823" t="s">
        <v>26</v>
      </c>
      <c r="B20" s="1794"/>
      <c r="C20" s="1794"/>
      <c r="D20" s="1794"/>
      <c r="E20" s="1795"/>
      <c r="F20" s="216">
        <f>SUM(F15:F19)</f>
        <v>180740000</v>
      </c>
      <c r="G20" s="217"/>
    </row>
    <row r="21" spans="1:11" x14ac:dyDescent="0.25">
      <c r="A21" s="186"/>
      <c r="B21" s="187"/>
      <c r="C21" s="188"/>
      <c r="D21" s="189"/>
      <c r="E21" s="188"/>
      <c r="F21" s="188"/>
      <c r="G21" s="188"/>
    </row>
    <row r="22" spans="1:11" x14ac:dyDescent="0.25">
      <c r="A22" s="1762" t="s">
        <v>549</v>
      </c>
      <c r="B22" s="1762"/>
      <c r="C22" s="188" t="s">
        <v>27</v>
      </c>
      <c r="D22" s="1763" t="s">
        <v>1426</v>
      </c>
      <c r="E22" s="1763"/>
      <c r="F22" s="1763"/>
      <c r="G22" s="188"/>
    </row>
    <row r="23" spans="1:11" x14ac:dyDescent="0.25">
      <c r="A23" s="1762" t="s">
        <v>28</v>
      </c>
      <c r="B23" s="1762"/>
      <c r="C23" s="188"/>
      <c r="D23" s="1764" t="s">
        <v>2832</v>
      </c>
      <c r="E23" s="1764"/>
      <c r="F23" s="1764"/>
      <c r="G23" s="188"/>
      <c r="H23" s="36"/>
    </row>
    <row r="24" spans="1:11" x14ac:dyDescent="0.25">
      <c r="A24" s="186"/>
      <c r="B24" s="187"/>
      <c r="C24" s="188"/>
      <c r="D24" s="189"/>
      <c r="E24" s="218"/>
      <c r="F24" s="218"/>
      <c r="G24" s="188"/>
    </row>
    <row r="25" spans="1:11" x14ac:dyDescent="0.25">
      <c r="A25" s="186"/>
      <c r="B25" s="187"/>
      <c r="C25" s="188"/>
      <c r="D25" s="189"/>
      <c r="E25" s="218"/>
      <c r="F25" s="218"/>
      <c r="G25" s="188"/>
    </row>
    <row r="26" spans="1:11" x14ac:dyDescent="0.25">
      <c r="A26" s="1762"/>
      <c r="B26" s="1762"/>
      <c r="C26" s="188"/>
      <c r="D26" s="189"/>
      <c r="E26" s="1762"/>
      <c r="F26" s="1762"/>
      <c r="G26" s="188"/>
    </row>
    <row r="27" spans="1:11" x14ac:dyDescent="0.25">
      <c r="A27" s="1762" t="s">
        <v>29</v>
      </c>
      <c r="B27" s="1762"/>
      <c r="C27" s="188"/>
      <c r="D27" s="1762" t="s">
        <v>2989</v>
      </c>
      <c r="E27" s="1762"/>
      <c r="F27" s="1762"/>
      <c r="G27" s="188"/>
    </row>
    <row r="29" spans="1:11" x14ac:dyDescent="0.25">
      <c r="A29" s="1765" t="s">
        <v>0</v>
      </c>
      <c r="B29" s="1765"/>
      <c r="C29" s="1765"/>
      <c r="D29" s="1765"/>
      <c r="E29" s="1765"/>
      <c r="F29" s="1765"/>
      <c r="G29" s="1765"/>
    </row>
    <row r="30" spans="1:11" x14ac:dyDescent="0.25">
      <c r="A30" s="1765" t="s">
        <v>1</v>
      </c>
      <c r="B30" s="1765"/>
      <c r="C30" s="1765"/>
      <c r="D30" s="1765"/>
      <c r="E30" s="1765"/>
      <c r="F30" s="1765"/>
      <c r="G30" s="1765"/>
    </row>
    <row r="31" spans="1:11" x14ac:dyDescent="0.25">
      <c r="A31" s="1765" t="s">
        <v>1769</v>
      </c>
      <c r="B31" s="1765"/>
      <c r="C31" s="1765"/>
      <c r="D31" s="1765"/>
      <c r="E31" s="1765"/>
      <c r="F31" s="1765"/>
      <c r="G31" s="1765"/>
    </row>
    <row r="32" spans="1:11" x14ac:dyDescent="0.25">
      <c r="A32" s="184"/>
      <c r="B32" s="184"/>
      <c r="C32" s="184"/>
      <c r="D32" s="184"/>
      <c r="E32" s="184"/>
      <c r="F32" s="184"/>
      <c r="G32" s="185"/>
    </row>
    <row r="33" spans="1:11" x14ac:dyDescent="0.25">
      <c r="A33" s="186" t="s">
        <v>2</v>
      </c>
      <c r="B33" s="187" t="s">
        <v>3</v>
      </c>
      <c r="C33" s="188"/>
      <c r="D33" s="189"/>
      <c r="E33" s="190"/>
      <c r="F33" s="191"/>
      <c r="G33" s="188"/>
    </row>
    <row r="34" spans="1:11" ht="36.75" x14ac:dyDescent="0.25">
      <c r="A34" s="192" t="s">
        <v>4</v>
      </c>
      <c r="B34" s="187" t="s">
        <v>5</v>
      </c>
      <c r="C34" s="188"/>
      <c r="D34" s="189"/>
      <c r="E34" s="193" t="s">
        <v>6</v>
      </c>
      <c r="F34" s="219" t="s">
        <v>63</v>
      </c>
      <c r="G34" s="188"/>
    </row>
    <row r="35" spans="1:11" ht="24.75" x14ac:dyDescent="0.25">
      <c r="A35" s="220" t="s">
        <v>7</v>
      </c>
      <c r="B35" s="187" t="s">
        <v>36</v>
      </c>
      <c r="C35" s="188"/>
      <c r="D35" s="189"/>
      <c r="E35" s="195" t="s">
        <v>9</v>
      </c>
      <c r="F35" s="196" t="s">
        <v>63</v>
      </c>
      <c r="G35" s="188"/>
    </row>
    <row r="36" spans="1:11" x14ac:dyDescent="0.25">
      <c r="A36" s="221" t="s">
        <v>37</v>
      </c>
      <c r="B36" s="187"/>
      <c r="C36" s="188"/>
      <c r="D36" s="189"/>
      <c r="E36" s="190"/>
      <c r="F36" s="191"/>
      <c r="G36" s="188"/>
    </row>
    <row r="37" spans="1:11" x14ac:dyDescent="0.25">
      <c r="A37" s="192" t="s">
        <v>38</v>
      </c>
      <c r="B37" s="187"/>
      <c r="C37" s="188"/>
      <c r="D37" s="189"/>
      <c r="E37" s="190"/>
      <c r="F37" s="191"/>
      <c r="G37" s="188"/>
    </row>
    <row r="38" spans="1:11" ht="24" x14ac:dyDescent="0.25">
      <c r="A38" s="197" t="s">
        <v>30</v>
      </c>
      <c r="B38" s="198" t="s">
        <v>31</v>
      </c>
      <c r="C38" s="1773" t="s">
        <v>12</v>
      </c>
      <c r="D38" s="1774"/>
      <c r="E38" s="198" t="s">
        <v>32</v>
      </c>
      <c r="F38" s="199" t="s">
        <v>33</v>
      </c>
      <c r="G38" s="197" t="s">
        <v>34</v>
      </c>
    </row>
    <row r="39" spans="1:11" x14ac:dyDescent="0.25">
      <c r="A39" s="200">
        <v>1</v>
      </c>
      <c r="B39" s="200">
        <v>2</v>
      </c>
      <c r="C39" s="1789">
        <v>3</v>
      </c>
      <c r="D39" s="1789"/>
      <c r="E39" s="201">
        <v>4</v>
      </c>
      <c r="F39" s="202">
        <v>5</v>
      </c>
      <c r="G39" s="202">
        <v>6</v>
      </c>
    </row>
    <row r="40" spans="1:11" x14ac:dyDescent="0.25">
      <c r="A40" s="203" t="s">
        <v>39</v>
      </c>
      <c r="B40" s="204" t="s">
        <v>16</v>
      </c>
      <c r="C40" s="205"/>
      <c r="D40" s="206"/>
      <c r="E40" s="197"/>
      <c r="F40" s="214"/>
      <c r="G40" s="222"/>
    </row>
    <row r="41" spans="1:11" ht="24" x14ac:dyDescent="0.25">
      <c r="A41" s="203" t="s">
        <v>40</v>
      </c>
      <c r="B41" s="204" t="s">
        <v>41</v>
      </c>
      <c r="C41" s="205"/>
      <c r="D41" s="206"/>
      <c r="E41" s="197"/>
      <c r="F41" s="214"/>
      <c r="G41" s="222"/>
    </row>
    <row r="42" spans="1:11" x14ac:dyDescent="0.25">
      <c r="A42" s="203" t="s">
        <v>42</v>
      </c>
      <c r="B42" s="204" t="s">
        <v>43</v>
      </c>
      <c r="C42" s="205"/>
      <c r="D42" s="206"/>
      <c r="E42" s="197"/>
      <c r="F42" s="214"/>
      <c r="G42" s="222"/>
    </row>
    <row r="43" spans="1:11" x14ac:dyDescent="0.25">
      <c r="A43" s="212"/>
      <c r="B43" s="213" t="s">
        <v>44</v>
      </c>
      <c r="C43" s="214">
        <v>12</v>
      </c>
      <c r="D43" s="206" t="s">
        <v>21</v>
      </c>
      <c r="E43" s="215">
        <v>3465000</v>
      </c>
      <c r="F43" s="216">
        <f>C43*E43</f>
        <v>41580000</v>
      </c>
      <c r="G43" s="199" t="s">
        <v>1409</v>
      </c>
      <c r="H43" s="3"/>
      <c r="J43" s="36">
        <f>F43</f>
        <v>41580000</v>
      </c>
    </row>
    <row r="44" spans="1:11" x14ac:dyDescent="0.25">
      <c r="A44" s="212"/>
      <c r="B44" s="213" t="s">
        <v>45</v>
      </c>
      <c r="C44" s="214">
        <v>72</v>
      </c>
      <c r="D44" s="206" t="s">
        <v>21</v>
      </c>
      <c r="E44" s="215">
        <v>2869032</v>
      </c>
      <c r="F44" s="216">
        <f>C44*E44</f>
        <v>206570304</v>
      </c>
      <c r="G44" s="199" t="s">
        <v>1409</v>
      </c>
      <c r="H44" s="3">
        <f>E49+E48</f>
        <v>8000000</v>
      </c>
      <c r="J44" s="36">
        <f>F44</f>
        <v>206570304</v>
      </c>
    </row>
    <row r="45" spans="1:11" x14ac:dyDescent="0.25">
      <c r="A45" s="212"/>
      <c r="B45" s="213" t="s">
        <v>46</v>
      </c>
      <c r="C45" s="214">
        <v>96</v>
      </c>
      <c r="D45" s="206" t="s">
        <v>21</v>
      </c>
      <c r="E45" s="215">
        <v>2869032</v>
      </c>
      <c r="F45" s="216">
        <f>C45*E45</f>
        <v>275427072</v>
      </c>
      <c r="G45" s="199" t="s">
        <v>1409</v>
      </c>
      <c r="H45" s="32"/>
      <c r="J45" s="36">
        <f>F45</f>
        <v>275427072</v>
      </c>
    </row>
    <row r="46" spans="1:11" x14ac:dyDescent="0.25">
      <c r="A46" s="212"/>
      <c r="B46" s="213"/>
      <c r="C46" s="214"/>
      <c r="D46" s="206"/>
      <c r="E46" s="215"/>
      <c r="F46" s="216"/>
      <c r="G46" s="199"/>
      <c r="H46" s="32"/>
    </row>
    <row r="47" spans="1:11" x14ac:dyDescent="0.25">
      <c r="A47" s="212" t="s">
        <v>47</v>
      </c>
      <c r="B47" s="213" t="s">
        <v>48</v>
      </c>
      <c r="C47" s="214"/>
      <c r="D47" s="206"/>
      <c r="E47" s="215"/>
      <c r="F47" s="216"/>
      <c r="G47" s="199"/>
    </row>
    <row r="48" spans="1:11" x14ac:dyDescent="0.25">
      <c r="A48" s="212"/>
      <c r="B48" s="213" t="s">
        <v>49</v>
      </c>
      <c r="C48" s="214">
        <v>12</v>
      </c>
      <c r="D48" s="206" t="s">
        <v>21</v>
      </c>
      <c r="E48" s="215">
        <v>4500000</v>
      </c>
      <c r="F48" s="216">
        <f t="shared" ref="F48:F59" si="1">C48*E48</f>
        <v>54000000</v>
      </c>
      <c r="G48" s="199" t="s">
        <v>1845</v>
      </c>
      <c r="K48" s="36">
        <f>F48</f>
        <v>54000000</v>
      </c>
    </row>
    <row r="49" spans="1:11" x14ac:dyDescent="0.25">
      <c r="A49" s="212"/>
      <c r="B49" s="213" t="s">
        <v>50</v>
      </c>
      <c r="C49" s="214">
        <v>1</v>
      </c>
      <c r="D49" s="206" t="s">
        <v>21</v>
      </c>
      <c r="E49" s="215">
        <v>3500000</v>
      </c>
      <c r="F49" s="216">
        <f>C49*E49</f>
        <v>3500000</v>
      </c>
      <c r="G49" s="199" t="s">
        <v>1845</v>
      </c>
      <c r="H49" s="3"/>
      <c r="K49" s="36">
        <f>F49</f>
        <v>3500000</v>
      </c>
    </row>
    <row r="50" spans="1:11" x14ac:dyDescent="0.25">
      <c r="A50" s="212"/>
      <c r="B50" s="213" t="s">
        <v>2582</v>
      </c>
      <c r="C50" s="214">
        <v>1</v>
      </c>
      <c r="D50" s="206" t="s">
        <v>21</v>
      </c>
      <c r="E50" s="215">
        <v>3500000</v>
      </c>
      <c r="F50" s="216">
        <f t="shared" si="1"/>
        <v>3500000</v>
      </c>
      <c r="G50" s="199" t="s">
        <v>1845</v>
      </c>
      <c r="H50" s="32"/>
      <c r="K50" s="36">
        <f>F50</f>
        <v>3500000</v>
      </c>
    </row>
    <row r="51" spans="1:11" x14ac:dyDescent="0.25">
      <c r="A51" s="212"/>
      <c r="B51" s="213"/>
      <c r="C51" s="214"/>
      <c r="D51" s="206"/>
      <c r="E51" s="215"/>
      <c r="F51" s="216"/>
      <c r="G51" s="199"/>
    </row>
    <row r="52" spans="1:11" ht="24.75" x14ac:dyDescent="0.25">
      <c r="A52" s="212"/>
      <c r="B52" s="213" t="s">
        <v>51</v>
      </c>
      <c r="C52" s="214">
        <v>72</v>
      </c>
      <c r="D52" s="206" t="s">
        <v>21</v>
      </c>
      <c r="E52" s="215">
        <v>2500000</v>
      </c>
      <c r="F52" s="216">
        <f t="shared" si="1"/>
        <v>180000000</v>
      </c>
      <c r="G52" s="199" t="s">
        <v>1845</v>
      </c>
      <c r="H52" s="83"/>
      <c r="K52" s="36">
        <f>F52</f>
        <v>180000000</v>
      </c>
    </row>
    <row r="53" spans="1:11" x14ac:dyDescent="0.25">
      <c r="A53" s="212"/>
      <c r="B53" s="213" t="s">
        <v>52</v>
      </c>
      <c r="C53" s="214">
        <v>6</v>
      </c>
      <c r="D53" s="206" t="s">
        <v>21</v>
      </c>
      <c r="E53" s="215">
        <v>2900000</v>
      </c>
      <c r="F53" s="216">
        <f>C53*E53</f>
        <v>17400000</v>
      </c>
      <c r="G53" s="199" t="s">
        <v>1845</v>
      </c>
      <c r="H53" s="83"/>
      <c r="K53" s="36">
        <f>F53</f>
        <v>17400000</v>
      </c>
    </row>
    <row r="54" spans="1:11" x14ac:dyDescent="0.25">
      <c r="A54" s="212"/>
      <c r="B54" s="213" t="s">
        <v>53</v>
      </c>
      <c r="C54" s="214">
        <v>6</v>
      </c>
      <c r="D54" s="206" t="s">
        <v>21</v>
      </c>
      <c r="E54" s="215">
        <v>2900000</v>
      </c>
      <c r="F54" s="216">
        <f t="shared" si="1"/>
        <v>17400000</v>
      </c>
      <c r="G54" s="199" t="s">
        <v>1845</v>
      </c>
      <c r="K54" s="36">
        <f>F54</f>
        <v>17400000</v>
      </c>
    </row>
    <row r="55" spans="1:11" x14ac:dyDescent="0.25">
      <c r="A55" s="212"/>
      <c r="B55" s="213"/>
      <c r="C55" s="214"/>
      <c r="D55" s="206"/>
      <c r="E55" s="215"/>
      <c r="F55" s="216"/>
      <c r="G55" s="199"/>
    </row>
    <row r="56" spans="1:11" ht="24.75" x14ac:dyDescent="0.25">
      <c r="A56" s="212"/>
      <c r="B56" s="213" t="s">
        <v>54</v>
      </c>
      <c r="C56" s="214">
        <v>96</v>
      </c>
      <c r="D56" s="206" t="s">
        <v>21</v>
      </c>
      <c r="E56" s="215">
        <v>2100000</v>
      </c>
      <c r="F56" s="216">
        <f t="shared" si="1"/>
        <v>201600000</v>
      </c>
      <c r="G56" s="199" t="s">
        <v>1845</v>
      </c>
      <c r="K56" s="36">
        <f>F56</f>
        <v>201600000</v>
      </c>
    </row>
    <row r="57" spans="1:11" x14ac:dyDescent="0.25">
      <c r="A57" s="212"/>
      <c r="B57" s="213" t="s">
        <v>55</v>
      </c>
      <c r="C57" s="214">
        <v>8</v>
      </c>
      <c r="D57" s="206" t="s">
        <v>21</v>
      </c>
      <c r="E57" s="215">
        <v>2900000</v>
      </c>
      <c r="F57" s="216">
        <f>C57*E57</f>
        <v>23200000</v>
      </c>
      <c r="G57" s="199" t="s">
        <v>1845</v>
      </c>
      <c r="K57" s="36">
        <f>F57</f>
        <v>23200000</v>
      </c>
    </row>
    <row r="58" spans="1:11" x14ac:dyDescent="0.25">
      <c r="A58" s="212"/>
      <c r="B58" s="213" t="s">
        <v>56</v>
      </c>
      <c r="C58" s="214">
        <v>8</v>
      </c>
      <c r="D58" s="206" t="s">
        <v>21</v>
      </c>
      <c r="E58" s="215">
        <v>2900000</v>
      </c>
      <c r="F58" s="216">
        <f t="shared" si="1"/>
        <v>23200000</v>
      </c>
      <c r="G58" s="199" t="s">
        <v>1845</v>
      </c>
      <c r="K58" s="36">
        <f>F58</f>
        <v>23200000</v>
      </c>
    </row>
    <row r="59" spans="1:11" x14ac:dyDescent="0.25">
      <c r="A59" s="212"/>
      <c r="B59" s="213" t="s">
        <v>1822</v>
      </c>
      <c r="C59" s="214">
        <v>1</v>
      </c>
      <c r="D59" s="206" t="s">
        <v>1823</v>
      </c>
      <c r="E59" s="215">
        <v>2900000</v>
      </c>
      <c r="F59" s="216">
        <f t="shared" si="1"/>
        <v>2900000</v>
      </c>
      <c r="G59" s="199" t="s">
        <v>1845</v>
      </c>
      <c r="H59" s="36"/>
      <c r="K59" s="36">
        <f>F59</f>
        <v>2900000</v>
      </c>
    </row>
    <row r="60" spans="1:11" x14ac:dyDescent="0.25">
      <c r="A60" s="212"/>
      <c r="B60" s="213"/>
      <c r="C60" s="214"/>
      <c r="D60" s="206"/>
      <c r="E60" s="215"/>
      <c r="F60" s="216"/>
      <c r="G60" s="222"/>
    </row>
    <row r="61" spans="1:11" x14ac:dyDescent="0.25">
      <c r="A61" s="1823" t="s">
        <v>26</v>
      </c>
      <c r="B61" s="1794"/>
      <c r="C61" s="1794"/>
      <c r="D61" s="1794"/>
      <c r="E61" s="1795"/>
      <c r="F61" s="216">
        <f>SUM(F43:F60)</f>
        <v>1050277376</v>
      </c>
      <c r="G61" s="222"/>
    </row>
    <row r="62" spans="1:11" x14ac:dyDescent="0.25">
      <c r="A62" s="1762" t="s">
        <v>549</v>
      </c>
      <c r="B62" s="1762"/>
      <c r="C62" s="188" t="s">
        <v>27</v>
      </c>
      <c r="D62" s="1763" t="s">
        <v>1426</v>
      </c>
      <c r="E62" s="1763"/>
      <c r="F62" s="1763"/>
      <c r="G62" s="188"/>
    </row>
    <row r="63" spans="1:11" x14ac:dyDescent="0.25">
      <c r="A63" s="1762" t="s">
        <v>28</v>
      </c>
      <c r="B63" s="1762"/>
      <c r="C63" s="188"/>
      <c r="D63" s="1764" t="s">
        <v>2832</v>
      </c>
      <c r="E63" s="1764"/>
      <c r="F63" s="1764"/>
      <c r="G63" s="188"/>
      <c r="H63" s="36"/>
    </row>
    <row r="64" spans="1:11" x14ac:dyDescent="0.25">
      <c r="A64" s="186"/>
      <c r="B64" s="187"/>
      <c r="C64" s="188"/>
      <c r="D64" s="189"/>
      <c r="E64" s="218"/>
      <c r="F64" s="218"/>
      <c r="G64" s="188"/>
    </row>
    <row r="65" spans="1:7" x14ac:dyDescent="0.25">
      <c r="A65" s="186"/>
      <c r="B65" s="187"/>
      <c r="C65" s="188"/>
      <c r="D65" s="189"/>
      <c r="E65" s="218"/>
      <c r="F65" s="218"/>
      <c r="G65" s="188"/>
    </row>
    <row r="66" spans="1:7" x14ac:dyDescent="0.25">
      <c r="A66" s="1762"/>
      <c r="B66" s="1762"/>
      <c r="C66" s="188"/>
      <c r="D66" s="189"/>
      <c r="E66" s="1762"/>
      <c r="F66" s="1762"/>
      <c r="G66" s="188"/>
    </row>
    <row r="67" spans="1:7" x14ac:dyDescent="0.25">
      <c r="A67" s="1762" t="s">
        <v>29</v>
      </c>
      <c r="B67" s="1762"/>
      <c r="C67" s="188"/>
      <c r="D67" s="1762" t="s">
        <v>2989</v>
      </c>
      <c r="E67" s="1762"/>
      <c r="F67" s="1762"/>
      <c r="G67" s="188"/>
    </row>
    <row r="69" spans="1:7" x14ac:dyDescent="0.25">
      <c r="A69" s="1765" t="s">
        <v>0</v>
      </c>
      <c r="B69" s="1765"/>
      <c r="C69" s="1765"/>
      <c r="D69" s="1765"/>
      <c r="E69" s="1765"/>
      <c r="F69" s="1765"/>
      <c r="G69" s="1765"/>
    </row>
    <row r="70" spans="1:7" x14ac:dyDescent="0.25">
      <c r="A70" s="1765" t="s">
        <v>1</v>
      </c>
      <c r="B70" s="1765"/>
      <c r="C70" s="1765"/>
      <c r="D70" s="1765"/>
      <c r="E70" s="1765"/>
      <c r="F70" s="1765"/>
      <c r="G70" s="1765"/>
    </row>
    <row r="71" spans="1:7" x14ac:dyDescent="0.25">
      <c r="A71" s="1765" t="s">
        <v>1769</v>
      </c>
      <c r="B71" s="1765"/>
      <c r="C71" s="1765"/>
      <c r="D71" s="1765"/>
      <c r="E71" s="1765"/>
      <c r="F71" s="1765"/>
      <c r="G71" s="1765"/>
    </row>
    <row r="72" spans="1:7" x14ac:dyDescent="0.25">
      <c r="A72" s="184"/>
      <c r="B72" s="184"/>
      <c r="C72" s="184"/>
      <c r="D72" s="184"/>
      <c r="E72" s="184"/>
      <c r="F72" s="184"/>
      <c r="G72" s="223"/>
    </row>
    <row r="73" spans="1:7" x14ac:dyDescent="0.25">
      <c r="A73" s="224" t="s">
        <v>2</v>
      </c>
      <c r="B73" s="1826" t="s">
        <v>57</v>
      </c>
      <c r="C73" s="1826"/>
      <c r="D73" s="1826"/>
      <c r="E73" s="190"/>
      <c r="F73" s="191"/>
      <c r="G73" s="223"/>
    </row>
    <row r="74" spans="1:7" ht="51" x14ac:dyDescent="0.25">
      <c r="A74" s="224" t="s">
        <v>4</v>
      </c>
      <c r="B74" s="225" t="s">
        <v>58</v>
      </c>
      <c r="C74" s="225"/>
      <c r="D74" s="225"/>
      <c r="E74" s="193" t="s">
        <v>6</v>
      </c>
      <c r="F74" s="193"/>
      <c r="G74" s="223"/>
    </row>
    <row r="75" spans="1:7" ht="38.25" x14ac:dyDescent="0.25">
      <c r="A75" s="224" t="s">
        <v>7</v>
      </c>
      <c r="B75" s="225" t="s">
        <v>59</v>
      </c>
      <c r="C75" s="225"/>
      <c r="D75" s="225"/>
      <c r="E75" s="195" t="s">
        <v>9</v>
      </c>
      <c r="F75" s="195"/>
      <c r="G75" s="223"/>
    </row>
    <row r="76" spans="1:7" x14ac:dyDescent="0.25">
      <c r="A76" s="226" t="s">
        <v>60</v>
      </c>
      <c r="B76" s="226" t="s">
        <v>61</v>
      </c>
      <c r="C76" s="226"/>
      <c r="D76" s="188"/>
      <c r="E76" s="227"/>
      <c r="F76" s="228"/>
    </row>
    <row r="77" spans="1:7" x14ac:dyDescent="0.25">
      <c r="A77" s="226" t="s">
        <v>62</v>
      </c>
      <c r="B77" s="226" t="s">
        <v>63</v>
      </c>
      <c r="C77" s="226"/>
      <c r="D77" s="1763"/>
      <c r="E77" s="1763"/>
      <c r="F77" s="188"/>
    </row>
    <row r="78" spans="1:7" ht="24" x14ac:dyDescent="0.25">
      <c r="A78" s="197" t="s">
        <v>30</v>
      </c>
      <c r="B78" s="198" t="s">
        <v>31</v>
      </c>
      <c r="C78" s="1773" t="s">
        <v>12</v>
      </c>
      <c r="D78" s="1774"/>
      <c r="E78" s="198" t="s">
        <v>32</v>
      </c>
      <c r="F78" s="197" t="s">
        <v>33</v>
      </c>
      <c r="G78" s="197" t="s">
        <v>34</v>
      </c>
    </row>
    <row r="79" spans="1:7" x14ac:dyDescent="0.25">
      <c r="A79" s="200">
        <v>1</v>
      </c>
      <c r="B79" s="200">
        <v>2</v>
      </c>
      <c r="C79" s="1789">
        <v>3</v>
      </c>
      <c r="D79" s="1789"/>
      <c r="E79" s="201">
        <v>4</v>
      </c>
      <c r="F79" s="202">
        <v>5</v>
      </c>
      <c r="G79" s="202">
        <v>6</v>
      </c>
    </row>
    <row r="80" spans="1:7" x14ac:dyDescent="0.25">
      <c r="A80" s="203" t="s">
        <v>64</v>
      </c>
      <c r="B80" s="204" t="s">
        <v>65</v>
      </c>
      <c r="C80" s="205"/>
      <c r="D80" s="206"/>
      <c r="E80" s="197"/>
      <c r="F80" s="214"/>
      <c r="G80" s="197"/>
    </row>
    <row r="81" spans="1:11" ht="24.75" x14ac:dyDescent="0.25">
      <c r="A81" s="203" t="s">
        <v>66</v>
      </c>
      <c r="B81" s="213" t="s">
        <v>67</v>
      </c>
      <c r="C81" s="214"/>
      <c r="D81" s="206"/>
      <c r="E81" s="215"/>
      <c r="F81" s="216"/>
      <c r="G81" s="199"/>
    </row>
    <row r="82" spans="1:11" x14ac:dyDescent="0.25">
      <c r="A82" s="203" t="s">
        <v>68</v>
      </c>
      <c r="B82" s="213" t="s">
        <v>69</v>
      </c>
      <c r="C82" s="214">
        <v>12</v>
      </c>
      <c r="D82" s="206" t="s">
        <v>21</v>
      </c>
      <c r="E82" s="215">
        <v>55000</v>
      </c>
      <c r="F82" s="216">
        <f>E82*C82</f>
        <v>660000</v>
      </c>
      <c r="G82" s="199"/>
      <c r="K82" s="36">
        <f>F82</f>
        <v>660000</v>
      </c>
    </row>
    <row r="83" spans="1:11" x14ac:dyDescent="0.25">
      <c r="A83" s="203" t="s">
        <v>70</v>
      </c>
      <c r="B83" s="213" t="s">
        <v>71</v>
      </c>
      <c r="C83" s="214"/>
      <c r="D83" s="206"/>
      <c r="E83" s="215"/>
      <c r="F83" s="216"/>
      <c r="G83" s="199"/>
    </row>
    <row r="84" spans="1:11" x14ac:dyDescent="0.25">
      <c r="A84" s="229"/>
      <c r="B84" s="213" t="s">
        <v>72</v>
      </c>
      <c r="C84" s="214">
        <v>12</v>
      </c>
      <c r="D84" s="206" t="s">
        <v>21</v>
      </c>
      <c r="E84" s="215">
        <v>35000</v>
      </c>
      <c r="F84" s="216">
        <f>E84*C84</f>
        <v>420000</v>
      </c>
      <c r="G84" s="199"/>
      <c r="H84" s="1543"/>
      <c r="K84" s="36">
        <f>F84</f>
        <v>420000</v>
      </c>
    </row>
    <row r="85" spans="1:11" ht="24.75" x14ac:dyDescent="0.25">
      <c r="A85" s="229"/>
      <c r="B85" s="213" t="s">
        <v>73</v>
      </c>
      <c r="C85" s="214">
        <v>72</v>
      </c>
      <c r="D85" s="206" t="s">
        <v>21</v>
      </c>
      <c r="E85" s="215">
        <v>32981.17</v>
      </c>
      <c r="F85" s="216">
        <f>E85*C85</f>
        <v>2374644.2399999998</v>
      </c>
      <c r="G85" s="199"/>
      <c r="H85" s="3"/>
      <c r="K85" s="36">
        <f>F85</f>
        <v>2374644.2399999998</v>
      </c>
    </row>
    <row r="86" spans="1:11" x14ac:dyDescent="0.25">
      <c r="A86" s="229"/>
      <c r="B86" s="213" t="s">
        <v>74</v>
      </c>
      <c r="C86" s="214">
        <v>96</v>
      </c>
      <c r="D86" s="206" t="s">
        <v>21</v>
      </c>
      <c r="E86" s="215">
        <v>32981.17</v>
      </c>
      <c r="F86" s="216">
        <f>E86*C86</f>
        <v>3166192.32</v>
      </c>
      <c r="G86" s="199"/>
      <c r="H86" s="32"/>
      <c r="K86" s="36">
        <f>F86</f>
        <v>3166192.32</v>
      </c>
    </row>
    <row r="87" spans="1:11" x14ac:dyDescent="0.25">
      <c r="A87" s="212" t="s">
        <v>75</v>
      </c>
      <c r="B87" s="213" t="s">
        <v>76</v>
      </c>
      <c r="C87" s="214">
        <v>12</v>
      </c>
      <c r="D87" s="206" t="s">
        <v>21</v>
      </c>
      <c r="E87" s="215">
        <v>886080</v>
      </c>
      <c r="F87" s="216">
        <f>E87*C87</f>
        <v>10632960</v>
      </c>
      <c r="G87" s="199"/>
      <c r="H87" s="32"/>
      <c r="K87" s="36">
        <f>F87</f>
        <v>10632960</v>
      </c>
    </row>
    <row r="88" spans="1:11" x14ac:dyDescent="0.25">
      <c r="A88" s="212" t="s">
        <v>77</v>
      </c>
      <c r="B88" s="213" t="s">
        <v>78</v>
      </c>
      <c r="C88" s="214"/>
      <c r="D88" s="206"/>
      <c r="E88" s="230"/>
      <c r="F88" s="216"/>
      <c r="G88" s="199"/>
    </row>
    <row r="89" spans="1:11" x14ac:dyDescent="0.25">
      <c r="A89" s="212"/>
      <c r="B89" s="213" t="s">
        <v>79</v>
      </c>
      <c r="C89" s="214">
        <v>12</v>
      </c>
      <c r="D89" s="206" t="s">
        <v>21</v>
      </c>
      <c r="E89" s="215">
        <v>499200</v>
      </c>
      <c r="F89" s="216">
        <f>E89*C89</f>
        <v>5990400</v>
      </c>
      <c r="G89" s="199"/>
      <c r="H89" s="1544"/>
      <c r="K89" s="36">
        <f>F89</f>
        <v>5990400</v>
      </c>
    </row>
    <row r="90" spans="1:11" ht="24.75" x14ac:dyDescent="0.25">
      <c r="A90" s="212"/>
      <c r="B90" s="213" t="s">
        <v>80</v>
      </c>
      <c r="C90" s="214">
        <v>72</v>
      </c>
      <c r="D90" s="206" t="s">
        <v>21</v>
      </c>
      <c r="E90" s="231">
        <v>336960</v>
      </c>
      <c r="F90" s="216">
        <f>E90*C90</f>
        <v>24261120</v>
      </c>
      <c r="G90" s="199"/>
      <c r="K90" s="36">
        <f>F90</f>
        <v>24261120</v>
      </c>
    </row>
    <row r="91" spans="1:11" ht="24.75" x14ac:dyDescent="0.25">
      <c r="A91" s="229"/>
      <c r="B91" s="213" t="s">
        <v>81</v>
      </c>
      <c r="C91" s="214">
        <v>96</v>
      </c>
      <c r="D91" s="206" t="s">
        <v>21</v>
      </c>
      <c r="E91" s="215">
        <v>312000</v>
      </c>
      <c r="F91" s="216">
        <f>E91*C91</f>
        <v>29952000</v>
      </c>
      <c r="G91" s="199"/>
      <c r="K91" s="36">
        <f>F91</f>
        <v>29952000</v>
      </c>
    </row>
    <row r="92" spans="1:11" x14ac:dyDescent="0.25">
      <c r="A92" s="229"/>
      <c r="B92" s="213"/>
      <c r="C92" s="214"/>
      <c r="D92" s="206"/>
      <c r="E92" s="215"/>
      <c r="F92" s="216"/>
      <c r="G92" s="222"/>
    </row>
    <row r="93" spans="1:11" x14ac:dyDescent="0.25">
      <c r="A93" s="1823" t="s">
        <v>26</v>
      </c>
      <c r="B93" s="1794"/>
      <c r="C93" s="1794"/>
      <c r="D93" s="1794"/>
      <c r="E93" s="1795"/>
      <c r="F93" s="216">
        <f>SUM(F82:F92)</f>
        <v>77457316.560000002</v>
      </c>
      <c r="G93" s="222" t="s">
        <v>1845</v>
      </c>
    </row>
    <row r="94" spans="1:11" x14ac:dyDescent="0.25">
      <c r="A94" s="1762" t="s">
        <v>549</v>
      </c>
      <c r="B94" s="1762"/>
      <c r="C94" s="188" t="s">
        <v>27</v>
      </c>
      <c r="D94" s="1763" t="s">
        <v>1426</v>
      </c>
      <c r="E94" s="1763"/>
      <c r="F94" s="1763"/>
      <c r="G94" s="188"/>
    </row>
    <row r="95" spans="1:11" x14ac:dyDescent="0.25">
      <c r="A95" s="1762" t="s">
        <v>28</v>
      </c>
      <c r="B95" s="1762"/>
      <c r="C95" s="188"/>
      <c r="D95" s="1764" t="s">
        <v>2832</v>
      </c>
      <c r="E95" s="1764"/>
      <c r="F95" s="1764"/>
      <c r="G95" s="188"/>
      <c r="H95" s="36"/>
    </row>
    <row r="96" spans="1:11" x14ac:dyDescent="0.25">
      <c r="A96" s="186"/>
      <c r="B96" s="187"/>
      <c r="C96" s="188"/>
      <c r="D96" s="189"/>
      <c r="E96" s="218"/>
      <c r="F96" s="218"/>
      <c r="G96" s="188"/>
    </row>
    <row r="97" spans="1:7" x14ac:dyDescent="0.25">
      <c r="A97" s="186"/>
      <c r="B97" s="187"/>
      <c r="C97" s="188"/>
      <c r="D97" s="189"/>
      <c r="E97" s="218"/>
      <c r="F97" s="218"/>
      <c r="G97" s="188"/>
    </row>
    <row r="98" spans="1:7" x14ac:dyDescent="0.25">
      <c r="A98" s="1762"/>
      <c r="B98" s="1762"/>
      <c r="C98" s="188"/>
      <c r="D98" s="189"/>
      <c r="E98" s="1762"/>
      <c r="F98" s="1762"/>
      <c r="G98" s="188"/>
    </row>
    <row r="99" spans="1:7" x14ac:dyDescent="0.25">
      <c r="A99" s="1762" t="s">
        <v>29</v>
      </c>
      <c r="B99" s="1762"/>
      <c r="C99" s="188"/>
      <c r="D99" s="1762" t="s">
        <v>2989</v>
      </c>
      <c r="E99" s="1762"/>
      <c r="F99" s="1762"/>
      <c r="G99" s="188"/>
    </row>
    <row r="103" spans="1:7" x14ac:dyDescent="0.25">
      <c r="A103" s="1765" t="s">
        <v>0</v>
      </c>
      <c r="B103" s="1765"/>
      <c r="C103" s="1765"/>
      <c r="D103" s="1765"/>
      <c r="E103" s="1765"/>
      <c r="F103" s="1765"/>
      <c r="G103" s="1765"/>
    </row>
    <row r="104" spans="1:7" x14ac:dyDescent="0.25">
      <c r="A104" s="1765" t="s">
        <v>1</v>
      </c>
      <c r="B104" s="1765"/>
      <c r="C104" s="1765"/>
      <c r="D104" s="1765"/>
      <c r="E104" s="1765"/>
      <c r="F104" s="1765"/>
      <c r="G104" s="1765"/>
    </row>
    <row r="105" spans="1:7" x14ac:dyDescent="0.25">
      <c r="A105" s="1765" t="s">
        <v>1769</v>
      </c>
      <c r="B105" s="1765"/>
      <c r="C105" s="1765"/>
      <c r="D105" s="1765"/>
      <c r="E105" s="1765"/>
      <c r="F105" s="1765"/>
      <c r="G105" s="1765"/>
    </row>
    <row r="106" spans="1:7" x14ac:dyDescent="0.25">
      <c r="A106" s="184"/>
      <c r="B106" s="184"/>
      <c r="C106" s="184"/>
      <c r="D106" s="184"/>
      <c r="E106" s="184"/>
      <c r="F106" s="184"/>
      <c r="G106" s="185"/>
    </row>
    <row r="107" spans="1:7" x14ac:dyDescent="0.25">
      <c r="A107" s="186" t="s">
        <v>2</v>
      </c>
      <c r="B107" s="187" t="s">
        <v>3</v>
      </c>
      <c r="C107" s="188"/>
      <c r="D107" s="189"/>
      <c r="E107" s="190"/>
      <c r="F107" s="191"/>
      <c r="G107" s="188"/>
    </row>
    <row r="108" spans="1:7" ht="36.75" x14ac:dyDescent="0.25">
      <c r="A108" s="192" t="s">
        <v>4</v>
      </c>
      <c r="B108" s="187" t="s">
        <v>5</v>
      </c>
      <c r="C108" s="188"/>
      <c r="D108" s="189"/>
      <c r="E108" s="227"/>
      <c r="F108" s="191"/>
      <c r="G108" s="188"/>
    </row>
    <row r="109" spans="1:7" ht="24" x14ac:dyDescent="0.25">
      <c r="A109" s="192" t="s">
        <v>7</v>
      </c>
      <c r="B109" s="232" t="s">
        <v>82</v>
      </c>
      <c r="C109" s="188"/>
      <c r="D109" s="189"/>
      <c r="E109" s="195"/>
      <c r="F109" s="196"/>
      <c r="G109" s="188"/>
    </row>
    <row r="110" spans="1:7" x14ac:dyDescent="0.25">
      <c r="A110" s="192" t="s">
        <v>245</v>
      </c>
      <c r="B110" s="187"/>
      <c r="C110" s="188"/>
      <c r="D110" s="189"/>
      <c r="E110" s="190"/>
      <c r="F110" s="191"/>
      <c r="G110" s="188"/>
    </row>
    <row r="111" spans="1:7" x14ac:dyDescent="0.25">
      <c r="A111" s="192" t="s">
        <v>10</v>
      </c>
      <c r="B111" s="187"/>
      <c r="C111" s="188"/>
      <c r="D111" s="189"/>
      <c r="E111" s="190"/>
      <c r="F111" s="191"/>
      <c r="G111" s="188"/>
    </row>
    <row r="112" spans="1:7" ht="24" x14ac:dyDescent="0.25">
      <c r="A112" s="197" t="s">
        <v>30</v>
      </c>
      <c r="B112" s="198" t="s">
        <v>474</v>
      </c>
      <c r="C112" s="1773" t="s">
        <v>12</v>
      </c>
      <c r="D112" s="1774"/>
      <c r="E112" s="198" t="s">
        <v>32</v>
      </c>
      <c r="F112" s="197" t="s">
        <v>33</v>
      </c>
      <c r="G112" s="197" t="s">
        <v>34</v>
      </c>
    </row>
    <row r="113" spans="1:10" x14ac:dyDescent="0.25">
      <c r="A113" s="200">
        <v>1</v>
      </c>
      <c r="B113" s="200">
        <v>2</v>
      </c>
      <c r="C113" s="1789">
        <v>3</v>
      </c>
      <c r="D113" s="1789"/>
      <c r="E113" s="201">
        <v>4</v>
      </c>
      <c r="F113" s="202">
        <v>5</v>
      </c>
      <c r="G113" s="202">
        <v>6</v>
      </c>
    </row>
    <row r="114" spans="1:10" x14ac:dyDescent="0.25">
      <c r="A114" s="203" t="s">
        <v>83</v>
      </c>
      <c r="B114" s="204" t="s">
        <v>84</v>
      </c>
      <c r="C114" s="205"/>
      <c r="D114" s="206"/>
      <c r="E114" s="207"/>
      <c r="F114" s="233"/>
      <c r="G114" s="197"/>
    </row>
    <row r="115" spans="1:10" x14ac:dyDescent="0.25">
      <c r="A115" s="203" t="s">
        <v>85</v>
      </c>
      <c r="B115" s="213" t="s">
        <v>86</v>
      </c>
      <c r="C115" s="214"/>
      <c r="D115" s="206"/>
      <c r="E115" s="217"/>
      <c r="F115" s="217"/>
      <c r="G115" s="199"/>
    </row>
    <row r="116" spans="1:10" ht="24.75" x14ac:dyDescent="0.25">
      <c r="A116" s="203" t="s">
        <v>87</v>
      </c>
      <c r="B116" s="234" t="s">
        <v>88</v>
      </c>
      <c r="C116" s="235"/>
      <c r="D116" s="236"/>
      <c r="E116" s="217"/>
      <c r="F116" s="217"/>
      <c r="G116" s="199"/>
    </row>
    <row r="117" spans="1:10" x14ac:dyDescent="0.25">
      <c r="A117" s="212"/>
      <c r="B117" s="213" t="s">
        <v>2779</v>
      </c>
      <c r="C117" s="214">
        <v>100</v>
      </c>
      <c r="D117" s="206" t="s">
        <v>89</v>
      </c>
      <c r="E117" s="237">
        <v>70000</v>
      </c>
      <c r="F117" s="215">
        <f>E117*C117</f>
        <v>7000000</v>
      </c>
      <c r="G117" s="199" t="s">
        <v>1409</v>
      </c>
      <c r="J117" s="36">
        <f>F117</f>
        <v>7000000</v>
      </c>
    </row>
    <row r="118" spans="1:10" x14ac:dyDescent="0.25">
      <c r="A118" s="212"/>
      <c r="B118" s="213" t="s">
        <v>2780</v>
      </c>
      <c r="C118" s="214">
        <v>5</v>
      </c>
      <c r="D118" s="206" t="s">
        <v>89</v>
      </c>
      <c r="E118" s="237">
        <v>70000</v>
      </c>
      <c r="F118" s="215">
        <f>E118*C118</f>
        <v>350000</v>
      </c>
      <c r="G118" s="199" t="s">
        <v>1409</v>
      </c>
      <c r="J118" s="36">
        <f t="shared" ref="J118:J181" si="2">F118</f>
        <v>350000</v>
      </c>
    </row>
    <row r="119" spans="1:10" x14ac:dyDescent="0.25">
      <c r="A119" s="212"/>
      <c r="B119" s="213" t="s">
        <v>90</v>
      </c>
      <c r="C119" s="214">
        <v>8</v>
      </c>
      <c r="D119" s="206" t="s">
        <v>91</v>
      </c>
      <c r="E119" s="237">
        <v>87000</v>
      </c>
      <c r="F119" s="215">
        <f t="shared" ref="F119:F167" si="3">E119*C119</f>
        <v>696000</v>
      </c>
      <c r="G119" s="199" t="s">
        <v>1409</v>
      </c>
      <c r="J119" s="36">
        <f t="shared" si="2"/>
        <v>696000</v>
      </c>
    </row>
    <row r="120" spans="1:10" x14ac:dyDescent="0.25">
      <c r="A120" s="212"/>
      <c r="B120" s="213" t="s">
        <v>1824</v>
      </c>
      <c r="C120" s="214">
        <v>6</v>
      </c>
      <c r="D120" s="206" t="s">
        <v>91</v>
      </c>
      <c r="E120" s="237">
        <v>17000</v>
      </c>
      <c r="F120" s="215">
        <f t="shared" si="3"/>
        <v>102000</v>
      </c>
      <c r="G120" s="199" t="s">
        <v>1409</v>
      </c>
      <c r="J120" s="36">
        <f t="shared" si="2"/>
        <v>102000</v>
      </c>
    </row>
    <row r="121" spans="1:10" x14ac:dyDescent="0.25">
      <c r="A121" s="212"/>
      <c r="B121" s="238" t="s">
        <v>2043</v>
      </c>
      <c r="C121" s="214">
        <v>8</v>
      </c>
      <c r="D121" s="206" t="s">
        <v>95</v>
      </c>
      <c r="E121" s="239">
        <v>21000</v>
      </c>
      <c r="F121" s="215">
        <f t="shared" si="3"/>
        <v>168000</v>
      </c>
      <c r="G121" s="199" t="s">
        <v>1409</v>
      </c>
      <c r="J121" s="36">
        <f t="shared" si="2"/>
        <v>168000</v>
      </c>
    </row>
    <row r="122" spans="1:10" x14ac:dyDescent="0.25">
      <c r="A122" s="212"/>
      <c r="B122" s="213" t="s">
        <v>93</v>
      </c>
      <c r="C122" s="208">
        <v>30</v>
      </c>
      <c r="D122" s="206" t="s">
        <v>91</v>
      </c>
      <c r="E122" s="237">
        <v>58000</v>
      </c>
      <c r="F122" s="215">
        <f t="shared" si="3"/>
        <v>1740000</v>
      </c>
      <c r="G122" s="199" t="s">
        <v>1409</v>
      </c>
      <c r="J122" s="36">
        <f t="shared" si="2"/>
        <v>1740000</v>
      </c>
    </row>
    <row r="123" spans="1:10" x14ac:dyDescent="0.25">
      <c r="A123" s="212"/>
      <c r="B123" s="213" t="s">
        <v>2781</v>
      </c>
      <c r="C123" s="214">
        <v>10</v>
      </c>
      <c r="D123" s="206" t="s">
        <v>479</v>
      </c>
      <c r="E123" s="237">
        <v>10000</v>
      </c>
      <c r="F123" s="215">
        <f t="shared" si="3"/>
        <v>100000</v>
      </c>
      <c r="G123" s="199" t="s">
        <v>1409</v>
      </c>
      <c r="J123" s="36">
        <f t="shared" si="2"/>
        <v>100000</v>
      </c>
    </row>
    <row r="124" spans="1:10" x14ac:dyDescent="0.25">
      <c r="A124" s="212"/>
      <c r="B124" s="213" t="s">
        <v>2782</v>
      </c>
      <c r="C124" s="214">
        <v>30</v>
      </c>
      <c r="D124" s="206" t="s">
        <v>479</v>
      </c>
      <c r="E124" s="237">
        <v>15000</v>
      </c>
      <c r="F124" s="215">
        <f t="shared" si="3"/>
        <v>450000</v>
      </c>
      <c r="G124" s="199" t="s">
        <v>1409</v>
      </c>
      <c r="J124" s="36">
        <f t="shared" si="2"/>
        <v>450000</v>
      </c>
    </row>
    <row r="125" spans="1:10" x14ac:dyDescent="0.25">
      <c r="A125" s="203"/>
      <c r="B125" s="213" t="s">
        <v>2783</v>
      </c>
      <c r="C125" s="214">
        <v>10</v>
      </c>
      <c r="D125" s="206" t="s">
        <v>479</v>
      </c>
      <c r="E125" s="237">
        <v>18000</v>
      </c>
      <c r="F125" s="215">
        <f t="shared" si="3"/>
        <v>180000</v>
      </c>
      <c r="G125" s="199" t="s">
        <v>1409</v>
      </c>
      <c r="J125" s="36">
        <f t="shared" si="2"/>
        <v>180000</v>
      </c>
    </row>
    <row r="126" spans="1:10" x14ac:dyDescent="0.25">
      <c r="A126" s="212"/>
      <c r="B126" s="240" t="s">
        <v>94</v>
      </c>
      <c r="C126" s="214">
        <v>5</v>
      </c>
      <c r="D126" s="206" t="s">
        <v>92</v>
      </c>
      <c r="E126" s="237">
        <v>50000</v>
      </c>
      <c r="F126" s="215">
        <f t="shared" si="3"/>
        <v>250000</v>
      </c>
      <c r="G126" s="199" t="s">
        <v>1409</v>
      </c>
      <c r="J126" s="36">
        <f t="shared" si="2"/>
        <v>250000</v>
      </c>
    </row>
    <row r="127" spans="1:10" x14ac:dyDescent="0.25">
      <c r="A127" s="212"/>
      <c r="B127" s="213" t="s">
        <v>96</v>
      </c>
      <c r="C127" s="214">
        <v>10</v>
      </c>
      <c r="D127" s="206" t="s">
        <v>481</v>
      </c>
      <c r="E127" s="241">
        <v>65000</v>
      </c>
      <c r="F127" s="215">
        <f t="shared" si="3"/>
        <v>650000</v>
      </c>
      <c r="G127" s="199" t="s">
        <v>1409</v>
      </c>
      <c r="H127" s="172"/>
      <c r="J127" s="36">
        <f t="shared" si="2"/>
        <v>650000</v>
      </c>
    </row>
    <row r="128" spans="1:10" x14ac:dyDescent="0.25">
      <c r="A128" s="212"/>
      <c r="B128" s="213" t="s">
        <v>97</v>
      </c>
      <c r="C128" s="214">
        <v>100</v>
      </c>
      <c r="D128" s="206" t="s">
        <v>95</v>
      </c>
      <c r="E128" s="241">
        <v>26000</v>
      </c>
      <c r="F128" s="215">
        <f t="shared" si="3"/>
        <v>2600000</v>
      </c>
      <c r="G128" s="199" t="s">
        <v>1409</v>
      </c>
      <c r="J128" s="36">
        <f t="shared" si="2"/>
        <v>2600000</v>
      </c>
    </row>
    <row r="129" spans="1:10" x14ac:dyDescent="0.25">
      <c r="A129" s="212"/>
      <c r="B129" s="213" t="s">
        <v>2784</v>
      </c>
      <c r="C129" s="214">
        <v>1573</v>
      </c>
      <c r="D129" s="206" t="s">
        <v>95</v>
      </c>
      <c r="E129" s="237">
        <v>3500</v>
      </c>
      <c r="F129" s="215">
        <f t="shared" si="3"/>
        <v>5505500</v>
      </c>
      <c r="G129" s="199" t="s">
        <v>1409</v>
      </c>
      <c r="J129" s="36">
        <f t="shared" si="2"/>
        <v>5505500</v>
      </c>
    </row>
    <row r="130" spans="1:10" x14ac:dyDescent="0.25">
      <c r="A130" s="212"/>
      <c r="B130" s="213" t="s">
        <v>98</v>
      </c>
      <c r="C130" s="214">
        <v>10</v>
      </c>
      <c r="D130" s="206" t="s">
        <v>95</v>
      </c>
      <c r="E130" s="237">
        <v>5500</v>
      </c>
      <c r="F130" s="215">
        <f t="shared" si="3"/>
        <v>55000</v>
      </c>
      <c r="G130" s="199" t="s">
        <v>1409</v>
      </c>
      <c r="J130" s="36">
        <f t="shared" si="2"/>
        <v>55000</v>
      </c>
    </row>
    <row r="131" spans="1:10" x14ac:dyDescent="0.25">
      <c r="A131" s="203"/>
      <c r="B131" s="213" t="s">
        <v>99</v>
      </c>
      <c r="C131" s="214">
        <v>1000</v>
      </c>
      <c r="D131" s="206" t="s">
        <v>95</v>
      </c>
      <c r="E131" s="237">
        <v>11000</v>
      </c>
      <c r="F131" s="215">
        <f t="shared" si="3"/>
        <v>11000000</v>
      </c>
      <c r="G131" s="199" t="s">
        <v>1409</v>
      </c>
      <c r="J131" s="36">
        <f t="shared" si="2"/>
        <v>11000000</v>
      </c>
    </row>
    <row r="132" spans="1:10" x14ac:dyDescent="0.25">
      <c r="A132" s="203"/>
      <c r="B132" s="213" t="s">
        <v>100</v>
      </c>
      <c r="C132" s="214">
        <v>2</v>
      </c>
      <c r="D132" s="206" t="s">
        <v>95</v>
      </c>
      <c r="E132" s="237">
        <v>25000</v>
      </c>
      <c r="F132" s="215">
        <f t="shared" si="3"/>
        <v>50000</v>
      </c>
      <c r="G132" s="199" t="s">
        <v>1409</v>
      </c>
      <c r="J132" s="36">
        <f t="shared" si="2"/>
        <v>50000</v>
      </c>
    </row>
    <row r="133" spans="1:10" x14ac:dyDescent="0.25">
      <c r="A133" s="203"/>
      <c r="B133" s="213" t="s">
        <v>2785</v>
      </c>
      <c r="C133" s="214">
        <v>12</v>
      </c>
      <c r="D133" s="206" t="s">
        <v>95</v>
      </c>
      <c r="E133" s="237">
        <v>9000</v>
      </c>
      <c r="F133" s="215">
        <f t="shared" si="3"/>
        <v>108000</v>
      </c>
      <c r="G133" s="199" t="s">
        <v>1409</v>
      </c>
      <c r="J133" s="36">
        <f t="shared" si="2"/>
        <v>108000</v>
      </c>
    </row>
    <row r="134" spans="1:10" x14ac:dyDescent="0.25">
      <c r="A134" s="203"/>
      <c r="B134" s="213" t="s">
        <v>101</v>
      </c>
      <c r="C134" s="214">
        <v>7</v>
      </c>
      <c r="D134" s="206" t="s">
        <v>322</v>
      </c>
      <c r="E134" s="237">
        <v>126000</v>
      </c>
      <c r="F134" s="215">
        <f t="shared" si="3"/>
        <v>882000</v>
      </c>
      <c r="G134" s="199" t="s">
        <v>1409</v>
      </c>
      <c r="J134" s="36">
        <f t="shared" si="2"/>
        <v>882000</v>
      </c>
    </row>
    <row r="135" spans="1:10" x14ac:dyDescent="0.25">
      <c r="A135" s="212"/>
      <c r="B135" s="213" t="s">
        <v>2786</v>
      </c>
      <c r="C135" s="214">
        <v>50</v>
      </c>
      <c r="D135" s="206" t="s">
        <v>102</v>
      </c>
      <c r="E135" s="237">
        <v>126000</v>
      </c>
      <c r="F135" s="215">
        <f t="shared" si="3"/>
        <v>6300000</v>
      </c>
      <c r="G135" s="199" t="s">
        <v>1409</v>
      </c>
      <c r="J135" s="36">
        <f t="shared" si="2"/>
        <v>6300000</v>
      </c>
    </row>
    <row r="136" spans="1:10" x14ac:dyDescent="0.25">
      <c r="A136" s="203"/>
      <c r="B136" s="213" t="s">
        <v>103</v>
      </c>
      <c r="C136" s="214">
        <v>20</v>
      </c>
      <c r="D136" s="206" t="s">
        <v>95</v>
      </c>
      <c r="E136" s="237">
        <v>27000</v>
      </c>
      <c r="F136" s="215">
        <f t="shared" si="3"/>
        <v>540000</v>
      </c>
      <c r="G136" s="199" t="s">
        <v>1409</v>
      </c>
      <c r="J136" s="36">
        <f t="shared" si="2"/>
        <v>540000</v>
      </c>
    </row>
    <row r="137" spans="1:10" x14ac:dyDescent="0.25">
      <c r="A137" s="203"/>
      <c r="B137" s="213" t="s">
        <v>104</v>
      </c>
      <c r="C137" s="214">
        <v>50</v>
      </c>
      <c r="D137" s="206" t="s">
        <v>95</v>
      </c>
      <c r="E137" s="237">
        <v>15000</v>
      </c>
      <c r="F137" s="215">
        <f t="shared" si="3"/>
        <v>750000</v>
      </c>
      <c r="G137" s="199" t="s">
        <v>1409</v>
      </c>
      <c r="J137" s="36">
        <f t="shared" si="2"/>
        <v>750000</v>
      </c>
    </row>
    <row r="138" spans="1:10" x14ac:dyDescent="0.25">
      <c r="A138" s="203"/>
      <c r="B138" s="213" t="s">
        <v>1825</v>
      </c>
      <c r="C138" s="214">
        <v>16</v>
      </c>
      <c r="D138" s="206" t="s">
        <v>95</v>
      </c>
      <c r="E138" s="237">
        <v>15000</v>
      </c>
      <c r="F138" s="215">
        <f t="shared" si="3"/>
        <v>240000</v>
      </c>
      <c r="G138" s="199" t="s">
        <v>1409</v>
      </c>
      <c r="J138" s="36">
        <f t="shared" si="2"/>
        <v>240000</v>
      </c>
    </row>
    <row r="139" spans="1:10" x14ac:dyDescent="0.25">
      <c r="A139" s="203"/>
      <c r="B139" s="213" t="s">
        <v>2787</v>
      </c>
      <c r="C139" s="214">
        <v>1</v>
      </c>
      <c r="D139" s="206" t="s">
        <v>507</v>
      </c>
      <c r="E139" s="237">
        <v>140000</v>
      </c>
      <c r="F139" s="215">
        <f t="shared" si="3"/>
        <v>140000</v>
      </c>
      <c r="G139" s="199" t="s">
        <v>1409</v>
      </c>
      <c r="J139" s="36">
        <f t="shared" si="2"/>
        <v>140000</v>
      </c>
    </row>
    <row r="140" spans="1:10" x14ac:dyDescent="0.25">
      <c r="A140" s="203"/>
      <c r="B140" s="213" t="s">
        <v>2788</v>
      </c>
      <c r="C140" s="214">
        <v>2</v>
      </c>
      <c r="D140" s="206" t="s">
        <v>95</v>
      </c>
      <c r="E140" s="237">
        <v>40000</v>
      </c>
      <c r="F140" s="215">
        <f t="shared" si="3"/>
        <v>80000</v>
      </c>
      <c r="G140" s="199" t="s">
        <v>1409</v>
      </c>
      <c r="J140" s="36">
        <f t="shared" si="2"/>
        <v>80000</v>
      </c>
    </row>
    <row r="141" spans="1:10" x14ac:dyDescent="0.25">
      <c r="A141" s="203"/>
      <c r="B141" s="213" t="s">
        <v>2789</v>
      </c>
      <c r="C141" s="214">
        <v>10</v>
      </c>
      <c r="D141" s="206" t="s">
        <v>507</v>
      </c>
      <c r="E141" s="237">
        <v>140000</v>
      </c>
      <c r="F141" s="215">
        <f t="shared" si="3"/>
        <v>1400000</v>
      </c>
      <c r="G141" s="199" t="s">
        <v>1409</v>
      </c>
      <c r="J141" s="36">
        <f t="shared" si="2"/>
        <v>1400000</v>
      </c>
    </row>
    <row r="142" spans="1:10" x14ac:dyDescent="0.25">
      <c r="A142" s="203"/>
      <c r="B142" s="213" t="s">
        <v>105</v>
      </c>
      <c r="C142" s="214">
        <v>6</v>
      </c>
      <c r="D142" s="206" t="s">
        <v>106</v>
      </c>
      <c r="E142" s="237">
        <v>750000</v>
      </c>
      <c r="F142" s="215">
        <f t="shared" si="3"/>
        <v>4500000</v>
      </c>
      <c r="G142" s="199" t="s">
        <v>1409</v>
      </c>
      <c r="J142" s="36">
        <f t="shared" si="2"/>
        <v>4500000</v>
      </c>
    </row>
    <row r="143" spans="1:10" x14ac:dyDescent="0.25">
      <c r="A143" s="203"/>
      <c r="B143" s="213" t="s">
        <v>107</v>
      </c>
      <c r="C143" s="214">
        <v>16500</v>
      </c>
      <c r="D143" s="206" t="s">
        <v>108</v>
      </c>
      <c r="E143" s="237">
        <v>400</v>
      </c>
      <c r="F143" s="215">
        <f t="shared" si="3"/>
        <v>6600000</v>
      </c>
      <c r="G143" s="199" t="s">
        <v>1409</v>
      </c>
      <c r="J143" s="36">
        <f t="shared" si="2"/>
        <v>6600000</v>
      </c>
    </row>
    <row r="144" spans="1:10" x14ac:dyDescent="0.25">
      <c r="A144" s="203"/>
      <c r="B144" s="242" t="s">
        <v>1776</v>
      </c>
      <c r="C144" s="214">
        <v>1112</v>
      </c>
      <c r="D144" s="206" t="s">
        <v>110</v>
      </c>
      <c r="E144" s="237">
        <v>6000</v>
      </c>
      <c r="F144" s="215">
        <f t="shared" si="3"/>
        <v>6672000</v>
      </c>
      <c r="G144" s="199" t="s">
        <v>1409</v>
      </c>
      <c r="J144" s="36">
        <f t="shared" si="2"/>
        <v>6672000</v>
      </c>
    </row>
    <row r="145" spans="1:19" x14ac:dyDescent="0.25">
      <c r="A145" s="203"/>
      <c r="B145" s="213" t="s">
        <v>2615</v>
      </c>
      <c r="C145" s="214">
        <v>10</v>
      </c>
      <c r="D145" s="206" t="s">
        <v>110</v>
      </c>
      <c r="E145" s="237">
        <v>41000</v>
      </c>
      <c r="F145" s="215">
        <f t="shared" si="3"/>
        <v>410000</v>
      </c>
      <c r="G145" s="199" t="s">
        <v>1409</v>
      </c>
      <c r="J145" s="36">
        <f t="shared" si="2"/>
        <v>410000</v>
      </c>
    </row>
    <row r="146" spans="1:19" x14ac:dyDescent="0.25">
      <c r="A146" s="203"/>
      <c r="B146" s="213" t="s">
        <v>111</v>
      </c>
      <c r="C146" s="214">
        <v>2</v>
      </c>
      <c r="D146" s="206" t="s">
        <v>95</v>
      </c>
      <c r="E146" s="237">
        <v>200000</v>
      </c>
      <c r="F146" s="215">
        <f t="shared" si="3"/>
        <v>400000</v>
      </c>
      <c r="G146" s="199" t="s">
        <v>1409</v>
      </c>
      <c r="J146" s="36">
        <f t="shared" si="2"/>
        <v>400000</v>
      </c>
    </row>
    <row r="147" spans="1:19" x14ac:dyDescent="0.25">
      <c r="A147" s="203"/>
      <c r="B147" s="213"/>
      <c r="C147" s="214"/>
      <c r="D147" s="206"/>
      <c r="E147" s="237"/>
      <c r="F147" s="215"/>
      <c r="G147" s="199"/>
      <c r="J147" s="36">
        <f t="shared" si="2"/>
        <v>0</v>
      </c>
    </row>
    <row r="148" spans="1:19" x14ac:dyDescent="0.25">
      <c r="A148" s="203" t="s">
        <v>112</v>
      </c>
      <c r="B148" s="238" t="s">
        <v>113</v>
      </c>
      <c r="C148" s="243"/>
      <c r="D148" s="206"/>
      <c r="E148" s="244"/>
      <c r="F148" s="215"/>
      <c r="G148" s="217"/>
      <c r="J148" s="36">
        <f t="shared" si="2"/>
        <v>0</v>
      </c>
    </row>
    <row r="149" spans="1:19" x14ac:dyDescent="0.25">
      <c r="A149" s="203"/>
      <c r="B149" s="213" t="s">
        <v>114</v>
      </c>
      <c r="C149" s="214">
        <v>20</v>
      </c>
      <c r="D149" s="206" t="s">
        <v>115</v>
      </c>
      <c r="E149" s="245">
        <v>130000</v>
      </c>
      <c r="F149" s="215">
        <f t="shared" si="3"/>
        <v>2600000</v>
      </c>
      <c r="G149" s="199" t="s">
        <v>1409</v>
      </c>
      <c r="J149" s="36">
        <f t="shared" si="2"/>
        <v>2600000</v>
      </c>
    </row>
    <row r="150" spans="1:19" x14ac:dyDescent="0.25">
      <c r="A150" s="203"/>
      <c r="B150" s="213"/>
      <c r="C150" s="214"/>
      <c r="D150" s="206"/>
      <c r="E150" s="241"/>
      <c r="F150" s="215"/>
      <c r="G150" s="199"/>
      <c r="J150" s="36">
        <f t="shared" si="2"/>
        <v>0</v>
      </c>
    </row>
    <row r="151" spans="1:19" ht="24.75" x14ac:dyDescent="0.25">
      <c r="A151" s="203" t="s">
        <v>116</v>
      </c>
      <c r="B151" s="213" t="s">
        <v>117</v>
      </c>
      <c r="C151" s="214"/>
      <c r="D151" s="206"/>
      <c r="E151" s="241"/>
      <c r="F151" s="215"/>
      <c r="G151" s="199"/>
      <c r="J151" s="36">
        <f t="shared" si="2"/>
        <v>0</v>
      </c>
    </row>
    <row r="152" spans="1:19" x14ac:dyDescent="0.25">
      <c r="A152" s="203"/>
      <c r="B152" s="213" t="s">
        <v>2790</v>
      </c>
      <c r="C152" s="214">
        <v>60</v>
      </c>
      <c r="D152" s="206" t="s">
        <v>507</v>
      </c>
      <c r="E152" s="241">
        <v>20000</v>
      </c>
      <c r="F152" s="215">
        <f>E152*C152</f>
        <v>1200000</v>
      </c>
      <c r="G152" s="199" t="s">
        <v>1409</v>
      </c>
      <c r="J152" s="36">
        <f t="shared" si="2"/>
        <v>1200000</v>
      </c>
    </row>
    <row r="153" spans="1:19" x14ac:dyDescent="0.25">
      <c r="A153" s="203"/>
      <c r="B153" s="213" t="s">
        <v>1833</v>
      </c>
      <c r="C153" s="214">
        <v>2</v>
      </c>
      <c r="D153" s="206" t="s">
        <v>92</v>
      </c>
      <c r="E153" s="241">
        <v>387300</v>
      </c>
      <c r="F153" s="215">
        <f>E153*C153</f>
        <v>774600</v>
      </c>
      <c r="G153" s="199" t="s">
        <v>1409</v>
      </c>
      <c r="J153" s="36">
        <f t="shared" si="2"/>
        <v>774600</v>
      </c>
    </row>
    <row r="154" spans="1:19" x14ac:dyDescent="0.25">
      <c r="A154" s="212"/>
      <c r="B154" s="213" t="s">
        <v>118</v>
      </c>
      <c r="C154" s="214">
        <v>6</v>
      </c>
      <c r="D154" s="206" t="s">
        <v>92</v>
      </c>
      <c r="E154" s="241">
        <v>50000</v>
      </c>
      <c r="F154" s="215">
        <f t="shared" si="3"/>
        <v>300000</v>
      </c>
      <c r="G154" s="199" t="s">
        <v>1409</v>
      </c>
      <c r="J154" s="36">
        <f t="shared" si="2"/>
        <v>300000</v>
      </c>
    </row>
    <row r="155" spans="1:19" x14ac:dyDescent="0.25">
      <c r="A155" s="212"/>
      <c r="B155" s="213" t="s">
        <v>119</v>
      </c>
      <c r="C155" s="214">
        <v>4</v>
      </c>
      <c r="D155" s="206" t="s">
        <v>92</v>
      </c>
      <c r="E155" s="241">
        <v>9000</v>
      </c>
      <c r="F155" s="215">
        <f t="shared" si="3"/>
        <v>36000</v>
      </c>
      <c r="G155" s="199" t="s">
        <v>1409</v>
      </c>
      <c r="J155" s="36">
        <f t="shared" si="2"/>
        <v>36000</v>
      </c>
    </row>
    <row r="156" spans="1:19" x14ac:dyDescent="0.25">
      <c r="A156" s="212"/>
      <c r="B156" s="213" t="s">
        <v>1826</v>
      </c>
      <c r="C156" s="214">
        <v>4</v>
      </c>
      <c r="D156" s="206" t="s">
        <v>95</v>
      </c>
      <c r="E156" s="241">
        <v>35000</v>
      </c>
      <c r="F156" s="215">
        <f t="shared" si="3"/>
        <v>140000</v>
      </c>
      <c r="G156" s="199" t="s">
        <v>1409</v>
      </c>
      <c r="J156" s="36">
        <f t="shared" si="2"/>
        <v>140000</v>
      </c>
    </row>
    <row r="157" spans="1:19" x14ac:dyDescent="0.25">
      <c r="A157" s="212"/>
      <c r="B157" s="240" t="s">
        <v>120</v>
      </c>
      <c r="C157" s="214">
        <v>4</v>
      </c>
      <c r="D157" s="206" t="s">
        <v>92</v>
      </c>
      <c r="E157" s="246">
        <v>26000</v>
      </c>
      <c r="F157" s="215">
        <f t="shared" si="3"/>
        <v>104000</v>
      </c>
      <c r="G157" s="199" t="s">
        <v>1409</v>
      </c>
      <c r="J157" s="36">
        <f t="shared" si="2"/>
        <v>104000</v>
      </c>
    </row>
    <row r="158" spans="1:19" x14ac:dyDescent="0.25">
      <c r="A158" s="212"/>
      <c r="B158" s="213" t="s">
        <v>1827</v>
      </c>
      <c r="C158" s="214">
        <v>4</v>
      </c>
      <c r="D158" s="206" t="s">
        <v>95</v>
      </c>
      <c r="E158" s="241">
        <v>30000</v>
      </c>
      <c r="F158" s="215">
        <f t="shared" si="3"/>
        <v>120000</v>
      </c>
      <c r="G158" s="199" t="s">
        <v>1409</v>
      </c>
      <c r="J158" s="36">
        <f t="shared" si="2"/>
        <v>120000</v>
      </c>
    </row>
    <row r="159" spans="1:19" ht="24.75" x14ac:dyDescent="0.25">
      <c r="A159" s="212"/>
      <c r="B159" s="213" t="s">
        <v>1828</v>
      </c>
      <c r="C159" s="214">
        <v>10</v>
      </c>
      <c r="D159" s="206" t="s">
        <v>95</v>
      </c>
      <c r="E159" s="241">
        <v>35000</v>
      </c>
      <c r="F159" s="215">
        <f t="shared" si="3"/>
        <v>350000</v>
      </c>
      <c r="G159" s="251" t="s">
        <v>2570</v>
      </c>
      <c r="J159" s="36"/>
      <c r="S159" s="36">
        <f>F159</f>
        <v>350000</v>
      </c>
    </row>
    <row r="160" spans="1:19" x14ac:dyDescent="0.25">
      <c r="A160" s="212"/>
      <c r="B160" s="213" t="s">
        <v>1739</v>
      </c>
      <c r="C160" s="214">
        <v>50</v>
      </c>
      <c r="D160" s="206" t="s">
        <v>121</v>
      </c>
      <c r="E160" s="241">
        <v>25000</v>
      </c>
      <c r="F160" s="215">
        <f t="shared" si="3"/>
        <v>1250000</v>
      </c>
      <c r="G160" s="199" t="s">
        <v>1409</v>
      </c>
      <c r="J160" s="36">
        <f t="shared" si="2"/>
        <v>1250000</v>
      </c>
    </row>
    <row r="161" spans="1:10" x14ac:dyDescent="0.25">
      <c r="A161" s="212"/>
      <c r="B161" s="213" t="s">
        <v>1829</v>
      </c>
      <c r="C161" s="214">
        <v>48</v>
      </c>
      <c r="D161" s="206" t="s">
        <v>480</v>
      </c>
      <c r="E161" s="241">
        <v>38000</v>
      </c>
      <c r="F161" s="215">
        <f t="shared" si="3"/>
        <v>1824000</v>
      </c>
      <c r="G161" s="199" t="s">
        <v>1409</v>
      </c>
      <c r="J161" s="36">
        <f t="shared" si="2"/>
        <v>1824000</v>
      </c>
    </row>
    <row r="162" spans="1:10" x14ac:dyDescent="0.25">
      <c r="A162" s="212"/>
      <c r="B162" s="213" t="s">
        <v>2791</v>
      </c>
      <c r="C162" s="214">
        <v>40</v>
      </c>
      <c r="D162" s="206" t="s">
        <v>95</v>
      </c>
      <c r="E162" s="241">
        <v>30000</v>
      </c>
      <c r="F162" s="215">
        <f t="shared" si="3"/>
        <v>1200000</v>
      </c>
      <c r="G162" s="199" t="s">
        <v>1409</v>
      </c>
      <c r="J162" s="36">
        <f t="shared" si="2"/>
        <v>1200000</v>
      </c>
    </row>
    <row r="163" spans="1:10" x14ac:dyDescent="0.25">
      <c r="A163" s="212"/>
      <c r="B163" s="213" t="s">
        <v>1830</v>
      </c>
      <c r="C163" s="214">
        <v>12</v>
      </c>
      <c r="D163" s="206" t="s">
        <v>123</v>
      </c>
      <c r="E163" s="241">
        <v>20000</v>
      </c>
      <c r="F163" s="215">
        <f t="shared" si="3"/>
        <v>240000</v>
      </c>
      <c r="G163" s="199" t="s">
        <v>1409</v>
      </c>
      <c r="J163" s="36">
        <f t="shared" si="2"/>
        <v>240000</v>
      </c>
    </row>
    <row r="164" spans="1:10" ht="24.75" x14ac:dyDescent="0.25">
      <c r="A164" s="203" t="s">
        <v>124</v>
      </c>
      <c r="B164" s="213" t="s">
        <v>125</v>
      </c>
      <c r="C164" s="214"/>
      <c r="D164" s="206"/>
      <c r="E164" s="237"/>
      <c r="F164" s="215"/>
      <c r="G164" s="199"/>
      <c r="J164" s="36">
        <f t="shared" si="2"/>
        <v>0</v>
      </c>
    </row>
    <row r="165" spans="1:10" x14ac:dyDescent="0.25">
      <c r="A165" s="212"/>
      <c r="B165" s="213" t="s">
        <v>126</v>
      </c>
      <c r="C165" s="214">
        <f>3*12</f>
        <v>36</v>
      </c>
      <c r="D165" s="206" t="s">
        <v>127</v>
      </c>
      <c r="E165" s="241">
        <v>150000</v>
      </c>
      <c r="F165" s="215">
        <f t="shared" si="3"/>
        <v>5400000</v>
      </c>
      <c r="G165" s="199" t="s">
        <v>1409</v>
      </c>
      <c r="J165" s="36">
        <f t="shared" si="2"/>
        <v>5400000</v>
      </c>
    </row>
    <row r="166" spans="1:10" x14ac:dyDescent="0.25">
      <c r="A166" s="212"/>
      <c r="B166" s="213" t="s">
        <v>128</v>
      </c>
      <c r="C166" s="214">
        <v>12</v>
      </c>
      <c r="D166" s="206" t="s">
        <v>129</v>
      </c>
      <c r="E166" s="241">
        <v>1000000</v>
      </c>
      <c r="F166" s="215">
        <f t="shared" si="3"/>
        <v>12000000</v>
      </c>
      <c r="G166" s="199" t="s">
        <v>1409</v>
      </c>
      <c r="J166" s="36">
        <f t="shared" si="2"/>
        <v>12000000</v>
      </c>
    </row>
    <row r="167" spans="1:10" ht="24.75" x14ac:dyDescent="0.25">
      <c r="A167" s="203"/>
      <c r="B167" s="213" t="s">
        <v>130</v>
      </c>
      <c r="C167" s="214">
        <v>6</v>
      </c>
      <c r="D167" s="206" t="s">
        <v>131</v>
      </c>
      <c r="E167" s="241">
        <v>275000</v>
      </c>
      <c r="F167" s="215">
        <f t="shared" si="3"/>
        <v>1650000</v>
      </c>
      <c r="G167" s="199" t="s">
        <v>1409</v>
      </c>
      <c r="J167" s="36">
        <f t="shared" si="2"/>
        <v>1650000</v>
      </c>
    </row>
    <row r="168" spans="1:10" x14ac:dyDescent="0.25">
      <c r="A168" s="203"/>
      <c r="B168" s="213"/>
      <c r="C168" s="214"/>
      <c r="D168" s="206"/>
      <c r="E168" s="241"/>
      <c r="F168" s="215"/>
      <c r="G168" s="199"/>
      <c r="J168" s="36">
        <f t="shared" si="2"/>
        <v>0</v>
      </c>
    </row>
    <row r="169" spans="1:10" ht="24.75" x14ac:dyDescent="0.25">
      <c r="A169" s="203" t="s">
        <v>132</v>
      </c>
      <c r="B169" s="213" t="s">
        <v>133</v>
      </c>
      <c r="C169" s="214"/>
      <c r="D169" s="206"/>
      <c r="E169" s="241"/>
      <c r="F169" s="215"/>
      <c r="G169" s="199"/>
      <c r="J169" s="36">
        <f t="shared" si="2"/>
        <v>0</v>
      </c>
    </row>
    <row r="170" spans="1:10" x14ac:dyDescent="0.25">
      <c r="A170" s="203"/>
      <c r="B170" s="213" t="s">
        <v>134</v>
      </c>
      <c r="C170" s="214">
        <v>8</v>
      </c>
      <c r="D170" s="206" t="s">
        <v>95</v>
      </c>
      <c r="E170" s="241">
        <v>115000</v>
      </c>
      <c r="F170" s="215">
        <f>E170*C170</f>
        <v>920000</v>
      </c>
      <c r="G170" s="199" t="s">
        <v>1409</v>
      </c>
      <c r="J170" s="36">
        <f t="shared" si="2"/>
        <v>920000</v>
      </c>
    </row>
    <row r="171" spans="1:10" x14ac:dyDescent="0.25">
      <c r="A171" s="212"/>
      <c r="B171" s="213" t="s">
        <v>135</v>
      </c>
      <c r="C171" s="214">
        <v>12</v>
      </c>
      <c r="D171" s="206" t="s">
        <v>1831</v>
      </c>
      <c r="E171" s="241">
        <v>21000</v>
      </c>
      <c r="F171" s="215">
        <f t="shared" ref="F171:F236" si="4">E171*C171</f>
        <v>252000</v>
      </c>
      <c r="G171" s="199" t="s">
        <v>1409</v>
      </c>
      <c r="J171" s="36">
        <f t="shared" si="2"/>
        <v>252000</v>
      </c>
    </row>
    <row r="172" spans="1:10" x14ac:dyDescent="0.25">
      <c r="A172" s="212"/>
      <c r="B172" s="213" t="s">
        <v>137</v>
      </c>
      <c r="C172" s="214">
        <v>20</v>
      </c>
      <c r="D172" s="206" t="s">
        <v>138</v>
      </c>
      <c r="E172" s="241">
        <v>21000</v>
      </c>
      <c r="F172" s="215">
        <f t="shared" si="4"/>
        <v>420000</v>
      </c>
      <c r="G172" s="199" t="s">
        <v>1409</v>
      </c>
      <c r="J172" s="36">
        <f t="shared" si="2"/>
        <v>420000</v>
      </c>
    </row>
    <row r="173" spans="1:10" x14ac:dyDescent="0.25">
      <c r="A173" s="212"/>
      <c r="B173" s="213" t="s">
        <v>139</v>
      </c>
      <c r="C173" s="214">
        <v>2</v>
      </c>
      <c r="D173" s="206" t="s">
        <v>95</v>
      </c>
      <c r="E173" s="241">
        <v>115000</v>
      </c>
      <c r="F173" s="215">
        <f t="shared" si="4"/>
        <v>230000</v>
      </c>
      <c r="G173" s="199" t="s">
        <v>1409</v>
      </c>
      <c r="J173" s="36">
        <f t="shared" si="2"/>
        <v>230000</v>
      </c>
    </row>
    <row r="174" spans="1:10" x14ac:dyDescent="0.25">
      <c r="A174" s="212"/>
      <c r="B174" s="213" t="s">
        <v>140</v>
      </c>
      <c r="C174" s="214">
        <v>1</v>
      </c>
      <c r="D174" s="206" t="s">
        <v>95</v>
      </c>
      <c r="E174" s="241">
        <v>115000</v>
      </c>
      <c r="F174" s="215">
        <f>E174*C174</f>
        <v>115000</v>
      </c>
      <c r="G174" s="199" t="s">
        <v>1409</v>
      </c>
      <c r="J174" s="36">
        <f t="shared" si="2"/>
        <v>115000</v>
      </c>
    </row>
    <row r="175" spans="1:10" x14ac:dyDescent="0.25">
      <c r="A175" s="212"/>
      <c r="B175" s="213" t="s">
        <v>141</v>
      </c>
      <c r="C175" s="214">
        <v>7</v>
      </c>
      <c r="D175" s="206" t="s">
        <v>95</v>
      </c>
      <c r="E175" s="241">
        <v>115000</v>
      </c>
      <c r="F175" s="215">
        <f t="shared" si="4"/>
        <v>805000</v>
      </c>
      <c r="G175" s="199" t="s">
        <v>1409</v>
      </c>
      <c r="J175" s="36">
        <f t="shared" si="2"/>
        <v>805000</v>
      </c>
    </row>
    <row r="176" spans="1:10" x14ac:dyDescent="0.25">
      <c r="A176" s="212"/>
      <c r="B176" s="213" t="s">
        <v>142</v>
      </c>
      <c r="C176" s="214">
        <v>8</v>
      </c>
      <c r="D176" s="206" t="s">
        <v>95</v>
      </c>
      <c r="E176" s="241">
        <v>115000</v>
      </c>
      <c r="F176" s="215">
        <f t="shared" si="4"/>
        <v>920000</v>
      </c>
      <c r="G176" s="199" t="s">
        <v>1409</v>
      </c>
      <c r="J176" s="36">
        <f t="shared" si="2"/>
        <v>920000</v>
      </c>
    </row>
    <row r="177" spans="1:19" x14ac:dyDescent="0.25">
      <c r="A177" s="212"/>
      <c r="B177" s="213" t="s">
        <v>143</v>
      </c>
      <c r="C177" s="214">
        <v>10</v>
      </c>
      <c r="D177" s="206" t="s">
        <v>95</v>
      </c>
      <c r="E177" s="241">
        <v>115000</v>
      </c>
      <c r="F177" s="215">
        <f t="shared" si="4"/>
        <v>1150000</v>
      </c>
      <c r="G177" s="199" t="s">
        <v>1409</v>
      </c>
      <c r="J177" s="36">
        <f t="shared" si="2"/>
        <v>1150000</v>
      </c>
    </row>
    <row r="178" spans="1:19" x14ac:dyDescent="0.25">
      <c r="A178" s="212"/>
      <c r="B178" s="213" t="s">
        <v>144</v>
      </c>
      <c r="C178" s="214">
        <v>2</v>
      </c>
      <c r="D178" s="206" t="s">
        <v>95</v>
      </c>
      <c r="E178" s="241">
        <v>115000</v>
      </c>
      <c r="F178" s="215">
        <f t="shared" si="4"/>
        <v>230000</v>
      </c>
      <c r="G178" s="199" t="s">
        <v>1409</v>
      </c>
      <c r="J178" s="36">
        <f t="shared" si="2"/>
        <v>230000</v>
      </c>
    </row>
    <row r="179" spans="1:19" x14ac:dyDescent="0.25">
      <c r="A179" s="212"/>
      <c r="B179" s="213" t="s">
        <v>145</v>
      </c>
      <c r="C179" s="214">
        <v>2</v>
      </c>
      <c r="D179" s="206" t="s">
        <v>95</v>
      </c>
      <c r="E179" s="241">
        <v>115000</v>
      </c>
      <c r="F179" s="215">
        <f t="shared" si="4"/>
        <v>230000</v>
      </c>
      <c r="G179" s="199" t="s">
        <v>1409</v>
      </c>
      <c r="J179" s="36">
        <f t="shared" si="2"/>
        <v>230000</v>
      </c>
    </row>
    <row r="180" spans="1:19" x14ac:dyDescent="0.25">
      <c r="A180" s="212"/>
      <c r="B180" s="213" t="s">
        <v>146</v>
      </c>
      <c r="C180" s="214">
        <v>2</v>
      </c>
      <c r="D180" s="206" t="s">
        <v>95</v>
      </c>
      <c r="E180" s="241">
        <v>115000</v>
      </c>
      <c r="F180" s="215">
        <f t="shared" si="4"/>
        <v>230000</v>
      </c>
      <c r="G180" s="199" t="s">
        <v>1409</v>
      </c>
      <c r="J180" s="36">
        <f t="shared" si="2"/>
        <v>230000</v>
      </c>
    </row>
    <row r="181" spans="1:19" x14ac:dyDescent="0.25">
      <c r="A181" s="212"/>
      <c r="B181" s="213" t="s">
        <v>147</v>
      </c>
      <c r="C181" s="214">
        <v>200</v>
      </c>
      <c r="D181" s="206" t="s">
        <v>92</v>
      </c>
      <c r="E181" s="241">
        <v>13000</v>
      </c>
      <c r="F181" s="215">
        <f t="shared" si="4"/>
        <v>2600000</v>
      </c>
      <c r="G181" s="199" t="s">
        <v>1409</v>
      </c>
      <c r="J181" s="36">
        <f t="shared" si="2"/>
        <v>2600000</v>
      </c>
    </row>
    <row r="182" spans="1:19" x14ac:dyDescent="0.25">
      <c r="A182" s="212"/>
      <c r="B182" s="213" t="s">
        <v>148</v>
      </c>
      <c r="C182" s="214">
        <v>1</v>
      </c>
      <c r="D182" s="206" t="s">
        <v>110</v>
      </c>
      <c r="E182" s="241">
        <v>600000</v>
      </c>
      <c r="F182" s="215">
        <f t="shared" si="4"/>
        <v>600000</v>
      </c>
      <c r="G182" s="199" t="s">
        <v>1409</v>
      </c>
      <c r="J182" s="36">
        <f t="shared" ref="J182:J247" si="5">F182</f>
        <v>600000</v>
      </c>
    </row>
    <row r="183" spans="1:19" ht="28.5" customHeight="1" x14ac:dyDescent="0.25">
      <c r="A183" s="212"/>
      <c r="B183" s="213" t="s">
        <v>149</v>
      </c>
      <c r="C183" s="205">
        <v>10</v>
      </c>
      <c r="D183" s="206" t="s">
        <v>110</v>
      </c>
      <c r="E183" s="247">
        <v>500000</v>
      </c>
      <c r="F183" s="215">
        <f t="shared" si="4"/>
        <v>5000000</v>
      </c>
      <c r="G183" s="199" t="s">
        <v>1409</v>
      </c>
      <c r="J183" s="36">
        <f t="shared" si="5"/>
        <v>5000000</v>
      </c>
    </row>
    <row r="184" spans="1:19" x14ac:dyDescent="0.25">
      <c r="A184" s="212"/>
      <c r="B184" s="213"/>
      <c r="C184" s="214"/>
      <c r="D184" s="206"/>
      <c r="E184" s="241"/>
      <c r="F184" s="215"/>
      <c r="G184" s="199"/>
      <c r="J184" s="36">
        <f t="shared" si="5"/>
        <v>0</v>
      </c>
    </row>
    <row r="185" spans="1:19" ht="24.75" x14ac:dyDescent="0.25">
      <c r="A185" s="203" t="s">
        <v>150</v>
      </c>
      <c r="B185" s="234" t="s">
        <v>151</v>
      </c>
      <c r="C185" s="214"/>
      <c r="D185" s="206"/>
      <c r="E185" s="241"/>
      <c r="F185" s="215"/>
      <c r="G185" s="199"/>
      <c r="J185" s="36">
        <f t="shared" si="5"/>
        <v>0</v>
      </c>
    </row>
    <row r="186" spans="1:19" ht="24.75" x14ac:dyDescent="0.25">
      <c r="A186" s="203"/>
      <c r="B186" s="234" t="s">
        <v>152</v>
      </c>
      <c r="C186" s="214">
        <v>24</v>
      </c>
      <c r="D186" s="206" t="s">
        <v>153</v>
      </c>
      <c r="E186" s="241">
        <v>45000</v>
      </c>
      <c r="F186" s="215">
        <f>E186*C186</f>
        <v>1080000</v>
      </c>
      <c r="G186" s="251" t="s">
        <v>2570</v>
      </c>
      <c r="J186" s="36"/>
      <c r="S186" s="36">
        <f>F186</f>
        <v>1080000</v>
      </c>
    </row>
    <row r="187" spans="1:19" x14ac:dyDescent="0.25">
      <c r="A187" s="203"/>
      <c r="B187" s="234" t="s">
        <v>436</v>
      </c>
      <c r="C187" s="214">
        <v>5</v>
      </c>
      <c r="D187" s="206" t="s">
        <v>153</v>
      </c>
      <c r="E187" s="241">
        <v>55000</v>
      </c>
      <c r="F187" s="215">
        <f>E187*C187</f>
        <v>275000</v>
      </c>
      <c r="G187" s="199" t="s">
        <v>1409</v>
      </c>
      <c r="J187" s="36">
        <f t="shared" si="5"/>
        <v>275000</v>
      </c>
    </row>
    <row r="188" spans="1:19" x14ac:dyDescent="0.25">
      <c r="A188" s="203"/>
      <c r="B188" s="213" t="s">
        <v>154</v>
      </c>
      <c r="C188" s="214">
        <v>325</v>
      </c>
      <c r="D188" s="206" t="s">
        <v>155</v>
      </c>
      <c r="E188" s="241">
        <v>6000</v>
      </c>
      <c r="F188" s="215">
        <f t="shared" si="4"/>
        <v>1950000</v>
      </c>
      <c r="G188" s="199" t="s">
        <v>1409</v>
      </c>
      <c r="J188" s="36">
        <f t="shared" si="5"/>
        <v>1950000</v>
      </c>
    </row>
    <row r="189" spans="1:19" x14ac:dyDescent="0.25">
      <c r="A189" s="203"/>
      <c r="B189" s="213" t="s">
        <v>156</v>
      </c>
      <c r="C189" s="214">
        <v>96</v>
      </c>
      <c r="D189" s="206" t="s">
        <v>157</v>
      </c>
      <c r="E189" s="241">
        <v>35000</v>
      </c>
      <c r="F189" s="215">
        <f t="shared" si="4"/>
        <v>3360000</v>
      </c>
      <c r="G189" s="199" t="s">
        <v>1409</v>
      </c>
      <c r="J189" s="36">
        <f t="shared" si="5"/>
        <v>3360000</v>
      </c>
    </row>
    <row r="190" spans="1:19" x14ac:dyDescent="0.25">
      <c r="A190" s="203"/>
      <c r="B190" s="213" t="s">
        <v>158</v>
      </c>
      <c r="C190" s="214">
        <v>48</v>
      </c>
      <c r="D190" s="206" t="s">
        <v>159</v>
      </c>
      <c r="E190" s="241">
        <v>25000</v>
      </c>
      <c r="F190" s="215">
        <f t="shared" si="4"/>
        <v>1200000</v>
      </c>
      <c r="G190" s="199" t="s">
        <v>1409</v>
      </c>
      <c r="J190" s="36">
        <f t="shared" si="5"/>
        <v>1200000</v>
      </c>
    </row>
    <row r="191" spans="1:19" x14ac:dyDescent="0.25">
      <c r="A191" s="203"/>
      <c r="B191" s="213" t="s">
        <v>160</v>
      </c>
      <c r="C191" s="214">
        <v>200</v>
      </c>
      <c r="D191" s="206" t="s">
        <v>161</v>
      </c>
      <c r="E191" s="241">
        <v>15000</v>
      </c>
      <c r="F191" s="215">
        <f t="shared" si="4"/>
        <v>3000000</v>
      </c>
      <c r="G191" s="199" t="s">
        <v>1409</v>
      </c>
      <c r="J191" s="36">
        <f t="shared" si="5"/>
        <v>3000000</v>
      </c>
    </row>
    <row r="192" spans="1:19" x14ac:dyDescent="0.25">
      <c r="A192" s="203"/>
      <c r="B192" s="213"/>
      <c r="C192" s="214"/>
      <c r="D192" s="206"/>
      <c r="E192" s="241"/>
      <c r="F192" s="215"/>
      <c r="G192" s="199"/>
      <c r="J192" s="36">
        <f t="shared" si="5"/>
        <v>0</v>
      </c>
    </row>
    <row r="193" spans="1:19" x14ac:dyDescent="0.25">
      <c r="A193" s="203" t="s">
        <v>162</v>
      </c>
      <c r="B193" s="213" t="s">
        <v>163</v>
      </c>
      <c r="C193" s="214"/>
      <c r="D193" s="206"/>
      <c r="E193" s="241"/>
      <c r="F193" s="215"/>
      <c r="G193" s="199"/>
      <c r="J193" s="36">
        <f t="shared" si="5"/>
        <v>0</v>
      </c>
    </row>
    <row r="194" spans="1:19" x14ac:dyDescent="0.25">
      <c r="A194" s="203"/>
      <c r="B194" s="248" t="s">
        <v>164</v>
      </c>
      <c r="C194" s="214">
        <v>6000</v>
      </c>
      <c r="D194" s="249" t="s">
        <v>165</v>
      </c>
      <c r="E194" s="241">
        <v>2000</v>
      </c>
      <c r="F194" s="215">
        <f t="shared" si="4"/>
        <v>12000000</v>
      </c>
      <c r="G194" s="199" t="s">
        <v>1409</v>
      </c>
      <c r="H194" s="36"/>
      <c r="J194" s="36">
        <f t="shared" si="5"/>
        <v>12000000</v>
      </c>
    </row>
    <row r="195" spans="1:19" x14ac:dyDescent="0.25">
      <c r="A195" s="203"/>
      <c r="B195" s="213" t="s">
        <v>1832</v>
      </c>
      <c r="C195" s="214">
        <v>12</v>
      </c>
      <c r="D195" s="206" t="s">
        <v>110</v>
      </c>
      <c r="E195" s="241">
        <v>50000</v>
      </c>
      <c r="F195" s="215">
        <f t="shared" si="4"/>
        <v>600000</v>
      </c>
      <c r="G195" s="199" t="s">
        <v>1409</v>
      </c>
      <c r="H195" s="83"/>
      <c r="J195" s="36">
        <f t="shared" si="5"/>
        <v>600000</v>
      </c>
    </row>
    <row r="196" spans="1:19" x14ac:dyDescent="0.25">
      <c r="A196" s="203"/>
      <c r="B196" s="213"/>
      <c r="C196" s="214"/>
      <c r="D196" s="206"/>
      <c r="E196" s="241"/>
      <c r="F196" s="215"/>
      <c r="G196" s="199"/>
      <c r="J196" s="36">
        <f t="shared" si="5"/>
        <v>0</v>
      </c>
    </row>
    <row r="197" spans="1:19" x14ac:dyDescent="0.25">
      <c r="A197" s="203" t="s">
        <v>166</v>
      </c>
      <c r="B197" s="213" t="s">
        <v>167</v>
      </c>
      <c r="C197" s="214"/>
      <c r="D197" s="206"/>
      <c r="E197" s="237"/>
      <c r="F197" s="215"/>
      <c r="G197" s="199"/>
      <c r="J197" s="36">
        <f t="shared" si="5"/>
        <v>0</v>
      </c>
    </row>
    <row r="198" spans="1:19" ht="24.75" x14ac:dyDescent="0.25">
      <c r="A198" s="212"/>
      <c r="B198" s="213" t="s">
        <v>168</v>
      </c>
      <c r="C198" s="214">
        <v>15</v>
      </c>
      <c r="D198" s="206" t="s">
        <v>92</v>
      </c>
      <c r="E198" s="241">
        <v>150000</v>
      </c>
      <c r="F198" s="215">
        <f t="shared" si="4"/>
        <v>2250000</v>
      </c>
      <c r="G198" s="199" t="s">
        <v>1409</v>
      </c>
      <c r="J198" s="36">
        <f t="shared" si="5"/>
        <v>2250000</v>
      </c>
    </row>
    <row r="199" spans="1:19" x14ac:dyDescent="0.25">
      <c r="A199" s="212"/>
      <c r="B199" s="213" t="s">
        <v>1835</v>
      </c>
      <c r="C199" s="214">
        <v>4</v>
      </c>
      <c r="D199" s="206" t="s">
        <v>178</v>
      </c>
      <c r="E199" s="241">
        <v>140000</v>
      </c>
      <c r="F199" s="215">
        <f>E199*C199</f>
        <v>560000</v>
      </c>
      <c r="G199" s="199" t="s">
        <v>1409</v>
      </c>
      <c r="J199" s="36">
        <f t="shared" si="5"/>
        <v>560000</v>
      </c>
    </row>
    <row r="200" spans="1:19" x14ac:dyDescent="0.25">
      <c r="A200" s="212"/>
      <c r="B200" s="213" t="s">
        <v>169</v>
      </c>
      <c r="C200" s="214">
        <v>5</v>
      </c>
      <c r="D200" s="206" t="s">
        <v>136</v>
      </c>
      <c r="E200" s="241">
        <v>125000</v>
      </c>
      <c r="F200" s="215">
        <f t="shared" si="4"/>
        <v>625000</v>
      </c>
      <c r="G200" s="199" t="s">
        <v>1409</v>
      </c>
      <c r="J200" s="36">
        <f t="shared" si="5"/>
        <v>625000</v>
      </c>
    </row>
    <row r="201" spans="1:19" x14ac:dyDescent="0.25">
      <c r="A201" s="212"/>
      <c r="B201" s="213" t="s">
        <v>170</v>
      </c>
      <c r="C201" s="214">
        <v>5</v>
      </c>
      <c r="D201" s="206" t="s">
        <v>171</v>
      </c>
      <c r="E201" s="241">
        <v>100000</v>
      </c>
      <c r="F201" s="215">
        <f t="shared" si="4"/>
        <v>500000</v>
      </c>
      <c r="G201" s="199" t="s">
        <v>1409</v>
      </c>
      <c r="J201" s="36">
        <f t="shared" si="5"/>
        <v>500000</v>
      </c>
    </row>
    <row r="202" spans="1:19" x14ac:dyDescent="0.25">
      <c r="A202" s="212"/>
      <c r="B202" s="213" t="s">
        <v>172</v>
      </c>
      <c r="C202" s="214">
        <v>3</v>
      </c>
      <c r="D202" s="206" t="s">
        <v>131</v>
      </c>
      <c r="E202" s="241">
        <v>1000000</v>
      </c>
      <c r="F202" s="215">
        <f t="shared" si="4"/>
        <v>3000000</v>
      </c>
      <c r="G202" s="199" t="s">
        <v>1409</v>
      </c>
      <c r="J202" s="36">
        <f t="shared" si="5"/>
        <v>3000000</v>
      </c>
    </row>
    <row r="203" spans="1:19" x14ac:dyDescent="0.25">
      <c r="A203" s="203"/>
      <c r="B203" s="213"/>
      <c r="C203" s="214"/>
      <c r="D203" s="206"/>
      <c r="E203" s="241"/>
      <c r="F203" s="215"/>
      <c r="G203" s="199"/>
      <c r="J203" s="36">
        <f t="shared" si="5"/>
        <v>0</v>
      </c>
    </row>
    <row r="204" spans="1:19" x14ac:dyDescent="0.25">
      <c r="A204" s="203" t="s">
        <v>173</v>
      </c>
      <c r="B204" s="213" t="s">
        <v>174</v>
      </c>
      <c r="C204" s="214"/>
      <c r="D204" s="206"/>
      <c r="E204" s="237"/>
      <c r="F204" s="215"/>
      <c r="G204" s="199"/>
      <c r="J204" s="36">
        <f t="shared" si="5"/>
        <v>0</v>
      </c>
    </row>
    <row r="205" spans="1:19" ht="24.75" x14ac:dyDescent="0.25">
      <c r="A205" s="212"/>
      <c r="B205" s="213" t="s">
        <v>2741</v>
      </c>
      <c r="C205" s="214">
        <v>31</v>
      </c>
      <c r="D205" s="206" t="s">
        <v>175</v>
      </c>
      <c r="E205" s="241">
        <v>750000</v>
      </c>
      <c r="F205" s="215">
        <f t="shared" si="4"/>
        <v>23250000</v>
      </c>
      <c r="G205" s="199" t="s">
        <v>1409</v>
      </c>
      <c r="J205" s="36">
        <f t="shared" si="5"/>
        <v>23250000</v>
      </c>
    </row>
    <row r="206" spans="1:19" x14ac:dyDescent="0.25">
      <c r="A206" s="212"/>
      <c r="B206" s="213"/>
      <c r="C206" s="214"/>
      <c r="D206" s="206"/>
      <c r="E206" s="241"/>
      <c r="F206" s="215"/>
      <c r="G206" s="199"/>
      <c r="J206" s="36">
        <f t="shared" si="5"/>
        <v>0</v>
      </c>
    </row>
    <row r="207" spans="1:19" x14ac:dyDescent="0.25">
      <c r="A207" s="203" t="s">
        <v>176</v>
      </c>
      <c r="B207" s="213" t="s">
        <v>177</v>
      </c>
      <c r="C207" s="214"/>
      <c r="D207" s="206"/>
      <c r="E207" s="241"/>
      <c r="F207" s="215"/>
      <c r="G207" s="199"/>
      <c r="J207" s="36">
        <f t="shared" si="5"/>
        <v>0</v>
      </c>
    </row>
    <row r="208" spans="1:19" ht="24.75" x14ac:dyDescent="0.25">
      <c r="A208" s="203"/>
      <c r="B208" s="213" t="s">
        <v>1834</v>
      </c>
      <c r="C208" s="214">
        <v>1</v>
      </c>
      <c r="D208" s="206" t="s">
        <v>178</v>
      </c>
      <c r="E208" s="241">
        <v>500000</v>
      </c>
      <c r="F208" s="215">
        <f t="shared" si="4"/>
        <v>500000</v>
      </c>
      <c r="G208" s="251" t="s">
        <v>2570</v>
      </c>
      <c r="J208" s="36"/>
      <c r="S208" s="36">
        <f>F208</f>
        <v>500000</v>
      </c>
    </row>
    <row r="209" spans="1:10" x14ac:dyDescent="0.25">
      <c r="A209" s="203"/>
      <c r="B209" s="213"/>
      <c r="C209" s="214"/>
      <c r="D209" s="206"/>
      <c r="E209" s="241"/>
      <c r="F209" s="215"/>
      <c r="G209" s="199"/>
      <c r="J209" s="36">
        <f t="shared" si="5"/>
        <v>0</v>
      </c>
    </row>
    <row r="210" spans="1:10" x14ac:dyDescent="0.25">
      <c r="A210" s="203" t="s">
        <v>179</v>
      </c>
      <c r="B210" s="213" t="s">
        <v>180</v>
      </c>
      <c r="C210" s="214"/>
      <c r="D210" s="206"/>
      <c r="E210" s="241"/>
      <c r="F210" s="215"/>
      <c r="G210" s="199"/>
      <c r="J210" s="36">
        <f t="shared" si="5"/>
        <v>0</v>
      </c>
    </row>
    <row r="211" spans="1:10" ht="24.75" x14ac:dyDescent="0.25">
      <c r="A211" s="250" t="s">
        <v>181</v>
      </c>
      <c r="B211" s="213" t="s">
        <v>182</v>
      </c>
      <c r="C211" s="214"/>
      <c r="D211" s="206"/>
      <c r="E211" s="241"/>
      <c r="F211" s="215"/>
      <c r="G211" s="199"/>
      <c r="J211" s="36">
        <f t="shared" si="5"/>
        <v>0</v>
      </c>
    </row>
    <row r="212" spans="1:10" x14ac:dyDescent="0.25">
      <c r="A212" s="203"/>
      <c r="B212" s="213" t="s">
        <v>183</v>
      </c>
      <c r="C212" s="214">
        <v>12</v>
      </c>
      <c r="D212" s="206" t="s">
        <v>184</v>
      </c>
      <c r="E212" s="241">
        <v>2500000</v>
      </c>
      <c r="F212" s="215">
        <f t="shared" si="4"/>
        <v>30000000</v>
      </c>
      <c r="G212" s="199" t="s">
        <v>1409</v>
      </c>
      <c r="H212" s="36">
        <v>800000</v>
      </c>
      <c r="J212" s="36">
        <f t="shared" si="5"/>
        <v>30000000</v>
      </c>
    </row>
    <row r="213" spans="1:10" x14ac:dyDescent="0.25">
      <c r="A213" s="203"/>
      <c r="B213" s="213" t="s">
        <v>185</v>
      </c>
      <c r="C213" s="214">
        <v>12</v>
      </c>
      <c r="D213" s="206" t="s">
        <v>184</v>
      </c>
      <c r="E213" s="241">
        <v>1700000</v>
      </c>
      <c r="F213" s="215">
        <f t="shared" si="4"/>
        <v>20400000</v>
      </c>
      <c r="G213" s="199" t="s">
        <v>1409</v>
      </c>
      <c r="H213" s="83">
        <v>700000</v>
      </c>
      <c r="J213" s="36">
        <f t="shared" si="5"/>
        <v>20400000</v>
      </c>
    </row>
    <row r="214" spans="1:10" x14ac:dyDescent="0.25">
      <c r="A214" s="203"/>
      <c r="B214" s="213" t="s">
        <v>186</v>
      </c>
      <c r="C214" s="214">
        <f>12*6</f>
        <v>72</v>
      </c>
      <c r="D214" s="206" t="s">
        <v>184</v>
      </c>
      <c r="E214" s="241">
        <v>1500000</v>
      </c>
      <c r="F214" s="215">
        <f t="shared" si="4"/>
        <v>108000000</v>
      </c>
      <c r="G214" s="199" t="s">
        <v>1409</v>
      </c>
      <c r="H214">
        <f>650000*6</f>
        <v>3900000</v>
      </c>
      <c r="J214" s="36">
        <f t="shared" si="5"/>
        <v>108000000</v>
      </c>
    </row>
    <row r="215" spans="1:10" x14ac:dyDescent="0.25">
      <c r="A215" s="203"/>
      <c r="B215" s="213" t="s">
        <v>187</v>
      </c>
      <c r="C215" s="214"/>
      <c r="D215" s="206"/>
      <c r="E215" s="241"/>
      <c r="F215" s="215"/>
      <c r="G215" s="199"/>
      <c r="H215" s="36">
        <f>SUM(H212:H214)</f>
        <v>5400000</v>
      </c>
      <c r="J215" s="36">
        <f t="shared" si="5"/>
        <v>0</v>
      </c>
    </row>
    <row r="216" spans="1:10" x14ac:dyDescent="0.25">
      <c r="A216" s="203"/>
      <c r="B216" s="213" t="s">
        <v>188</v>
      </c>
      <c r="C216" s="214">
        <v>1</v>
      </c>
      <c r="D216" s="206" t="s">
        <v>222</v>
      </c>
      <c r="E216" s="241">
        <v>300000</v>
      </c>
      <c r="F216" s="215">
        <f>E216*C216</f>
        <v>300000</v>
      </c>
      <c r="G216" s="199" t="s">
        <v>1409</v>
      </c>
      <c r="H216" s="32">
        <f>E214*6</f>
        <v>9000000</v>
      </c>
      <c r="J216" s="36">
        <f t="shared" si="5"/>
        <v>300000</v>
      </c>
    </row>
    <row r="217" spans="1:10" x14ac:dyDescent="0.25">
      <c r="A217" s="203"/>
      <c r="B217" s="213" t="s">
        <v>189</v>
      </c>
      <c r="C217" s="214">
        <v>1</v>
      </c>
      <c r="D217" s="206" t="s">
        <v>222</v>
      </c>
      <c r="E217" s="241">
        <v>250000</v>
      </c>
      <c r="F217" s="215">
        <f>E217*C217</f>
        <v>250000</v>
      </c>
      <c r="G217" s="199" t="s">
        <v>1409</v>
      </c>
      <c r="H217" s="32">
        <f>H216+E213+E212</f>
        <v>13200000</v>
      </c>
      <c r="J217" s="36">
        <f t="shared" si="5"/>
        <v>250000</v>
      </c>
    </row>
    <row r="218" spans="1:10" x14ac:dyDescent="0.25">
      <c r="A218" s="203"/>
      <c r="B218" s="213" t="s">
        <v>190</v>
      </c>
      <c r="C218" s="214">
        <v>1</v>
      </c>
      <c r="D218" s="206" t="s">
        <v>222</v>
      </c>
      <c r="E218" s="241">
        <v>200000</v>
      </c>
      <c r="F218" s="215">
        <f>E218*C218</f>
        <v>200000</v>
      </c>
      <c r="G218" s="199" t="s">
        <v>1409</v>
      </c>
      <c r="J218" s="36">
        <f t="shared" si="5"/>
        <v>200000</v>
      </c>
    </row>
    <row r="219" spans="1:10" x14ac:dyDescent="0.25">
      <c r="A219" s="203"/>
      <c r="B219" s="213"/>
      <c r="C219" s="214"/>
      <c r="D219" s="206"/>
      <c r="E219" s="241"/>
      <c r="F219" s="215"/>
      <c r="G219" s="199"/>
      <c r="J219" s="36">
        <f t="shared" si="5"/>
        <v>0</v>
      </c>
    </row>
    <row r="220" spans="1:10" x14ac:dyDescent="0.25">
      <c r="A220" s="203" t="s">
        <v>191</v>
      </c>
      <c r="B220" s="213" t="s">
        <v>192</v>
      </c>
      <c r="C220" s="214"/>
      <c r="D220" s="206"/>
      <c r="E220" s="241"/>
      <c r="F220" s="215"/>
      <c r="G220" s="199"/>
      <c r="J220" s="36">
        <f t="shared" si="5"/>
        <v>0</v>
      </c>
    </row>
    <row r="221" spans="1:10" x14ac:dyDescent="0.25">
      <c r="A221" s="212" t="s">
        <v>193</v>
      </c>
      <c r="B221" s="213" t="s">
        <v>194</v>
      </c>
      <c r="C221" s="214">
        <v>1</v>
      </c>
      <c r="D221" s="206" t="s">
        <v>195</v>
      </c>
      <c r="E221" s="241">
        <v>100000000</v>
      </c>
      <c r="F221" s="215">
        <f t="shared" si="4"/>
        <v>100000000</v>
      </c>
      <c r="G221" s="199" t="s">
        <v>1409</v>
      </c>
      <c r="J221" s="36">
        <f t="shared" si="5"/>
        <v>100000000</v>
      </c>
    </row>
    <row r="222" spans="1:10" x14ac:dyDescent="0.25">
      <c r="A222" s="203"/>
      <c r="B222" s="213"/>
      <c r="C222" s="214"/>
      <c r="D222" s="206"/>
      <c r="E222" s="241"/>
      <c r="F222" s="215"/>
      <c r="G222" s="199"/>
      <c r="J222" s="36">
        <f t="shared" si="5"/>
        <v>0</v>
      </c>
    </row>
    <row r="223" spans="1:10" x14ac:dyDescent="0.25">
      <c r="A223" s="203" t="s">
        <v>196</v>
      </c>
      <c r="B223" s="213" t="s">
        <v>197</v>
      </c>
      <c r="C223" s="214"/>
      <c r="D223" s="206"/>
      <c r="E223" s="241"/>
      <c r="F223" s="215"/>
      <c r="G223" s="199"/>
      <c r="J223" s="36">
        <f t="shared" si="5"/>
        <v>0</v>
      </c>
    </row>
    <row r="224" spans="1:10" x14ac:dyDescent="0.25">
      <c r="A224" s="203" t="s">
        <v>198</v>
      </c>
      <c r="B224" s="213" t="s">
        <v>199</v>
      </c>
      <c r="C224" s="214">
        <v>1</v>
      </c>
      <c r="D224" s="206" t="s">
        <v>195</v>
      </c>
      <c r="E224" s="241">
        <v>36600000</v>
      </c>
      <c r="F224" s="215">
        <f t="shared" si="4"/>
        <v>36600000</v>
      </c>
      <c r="G224" s="199" t="s">
        <v>1409</v>
      </c>
      <c r="H224" s="32">
        <f>E224/12</f>
        <v>3050000</v>
      </c>
      <c r="J224" s="36">
        <f t="shared" si="5"/>
        <v>36600000</v>
      </c>
    </row>
    <row r="225" spans="1:25" x14ac:dyDescent="0.25">
      <c r="A225" s="203" t="s">
        <v>200</v>
      </c>
      <c r="B225" s="213" t="s">
        <v>201</v>
      </c>
      <c r="C225" s="214">
        <v>1</v>
      </c>
      <c r="D225" s="206" t="s">
        <v>195</v>
      </c>
      <c r="E225" s="241">
        <v>1440000</v>
      </c>
      <c r="F225" s="215">
        <f t="shared" si="4"/>
        <v>1440000</v>
      </c>
      <c r="G225" s="199" t="s">
        <v>1409</v>
      </c>
      <c r="H225" s="83">
        <f>F225/12</f>
        <v>120000</v>
      </c>
      <c r="J225" s="36">
        <f t="shared" si="5"/>
        <v>1440000</v>
      </c>
    </row>
    <row r="226" spans="1:25" x14ac:dyDescent="0.25">
      <c r="A226" s="203" t="s">
        <v>202</v>
      </c>
      <c r="B226" s="213" t="s">
        <v>203</v>
      </c>
      <c r="C226" s="214">
        <v>1</v>
      </c>
      <c r="D226" s="206" t="s">
        <v>195</v>
      </c>
      <c r="E226" s="241">
        <v>1200000</v>
      </c>
      <c r="F226" s="215">
        <f t="shared" si="4"/>
        <v>1200000</v>
      </c>
      <c r="G226" s="199" t="s">
        <v>1409</v>
      </c>
      <c r="H226" s="83">
        <f>F226/12</f>
        <v>100000</v>
      </c>
      <c r="J226" s="36">
        <f t="shared" si="5"/>
        <v>1200000</v>
      </c>
    </row>
    <row r="227" spans="1:25" x14ac:dyDescent="0.25">
      <c r="A227" s="203" t="s">
        <v>204</v>
      </c>
      <c r="B227" s="213" t="s">
        <v>205</v>
      </c>
      <c r="C227" s="214">
        <v>1</v>
      </c>
      <c r="D227" s="206" t="s">
        <v>195</v>
      </c>
      <c r="E227" s="241">
        <v>15600000</v>
      </c>
      <c r="F227" s="215">
        <f t="shared" si="4"/>
        <v>15600000</v>
      </c>
      <c r="G227" s="199" t="s">
        <v>1409</v>
      </c>
      <c r="H227" s="83">
        <f>F227/12</f>
        <v>1300000</v>
      </c>
      <c r="J227" s="36">
        <f t="shared" si="5"/>
        <v>15600000</v>
      </c>
    </row>
    <row r="228" spans="1:25" x14ac:dyDescent="0.25">
      <c r="A228" s="203" t="s">
        <v>206</v>
      </c>
      <c r="B228" s="213" t="s">
        <v>207</v>
      </c>
      <c r="C228" s="214"/>
      <c r="D228" s="206"/>
      <c r="E228" s="241"/>
      <c r="F228" s="215"/>
      <c r="G228" s="199"/>
      <c r="J228" s="36">
        <f t="shared" si="5"/>
        <v>0</v>
      </c>
    </row>
    <row r="229" spans="1:25" ht="24.75" x14ac:dyDescent="0.25">
      <c r="A229" s="203"/>
      <c r="B229" s="213" t="s">
        <v>2921</v>
      </c>
      <c r="C229" s="214">
        <v>1</v>
      </c>
      <c r="D229" s="206" t="s">
        <v>115</v>
      </c>
      <c r="E229" s="241">
        <v>21250000</v>
      </c>
      <c r="F229" s="215">
        <f>E229*C229</f>
        <v>21250000</v>
      </c>
      <c r="G229" s="251" t="s">
        <v>2922</v>
      </c>
      <c r="H229" s="83"/>
      <c r="J229" s="36"/>
      <c r="Y229" s="36">
        <f>F229</f>
        <v>21250000</v>
      </c>
    </row>
    <row r="230" spans="1:25" x14ac:dyDescent="0.25">
      <c r="A230" s="212"/>
      <c r="B230" s="213" t="s">
        <v>208</v>
      </c>
      <c r="C230" s="214">
        <v>1</v>
      </c>
      <c r="D230" s="244" t="s">
        <v>131</v>
      </c>
      <c r="E230" s="241">
        <v>350000</v>
      </c>
      <c r="F230" s="215">
        <f t="shared" si="4"/>
        <v>350000</v>
      </c>
      <c r="G230" s="199" t="s">
        <v>1409</v>
      </c>
      <c r="J230" s="36">
        <f t="shared" si="5"/>
        <v>350000</v>
      </c>
    </row>
    <row r="231" spans="1:25" x14ac:dyDescent="0.25">
      <c r="A231" s="212"/>
      <c r="B231" s="213" t="s">
        <v>209</v>
      </c>
      <c r="C231" s="214">
        <v>1</v>
      </c>
      <c r="D231" s="244" t="s">
        <v>131</v>
      </c>
      <c r="E231" s="241">
        <v>350000</v>
      </c>
      <c r="F231" s="215">
        <f t="shared" si="4"/>
        <v>350000</v>
      </c>
      <c r="G231" s="199" t="s">
        <v>1409</v>
      </c>
      <c r="J231" s="36">
        <f t="shared" si="5"/>
        <v>350000</v>
      </c>
    </row>
    <row r="232" spans="1:25" x14ac:dyDescent="0.25">
      <c r="A232" s="212"/>
      <c r="B232" s="213" t="s">
        <v>210</v>
      </c>
      <c r="C232" s="214">
        <v>1</v>
      </c>
      <c r="D232" s="244" t="s">
        <v>131</v>
      </c>
      <c r="E232" s="241">
        <v>350000</v>
      </c>
      <c r="F232" s="215">
        <f t="shared" si="4"/>
        <v>350000</v>
      </c>
      <c r="G232" s="199" t="s">
        <v>1409</v>
      </c>
      <c r="J232" s="36">
        <f t="shared" si="5"/>
        <v>350000</v>
      </c>
    </row>
    <row r="233" spans="1:25" x14ac:dyDescent="0.25">
      <c r="A233" s="212"/>
      <c r="B233" s="213" t="s">
        <v>211</v>
      </c>
      <c r="C233" s="214">
        <v>1</v>
      </c>
      <c r="D233" s="244" t="s">
        <v>131</v>
      </c>
      <c r="E233" s="241">
        <v>2500000</v>
      </c>
      <c r="F233" s="215">
        <f t="shared" si="4"/>
        <v>2500000</v>
      </c>
      <c r="G233" s="199" t="s">
        <v>1409</v>
      </c>
      <c r="J233" s="36">
        <f t="shared" si="5"/>
        <v>2500000</v>
      </c>
    </row>
    <row r="234" spans="1:25" x14ac:dyDescent="0.25">
      <c r="A234" s="229"/>
      <c r="B234" s="213" t="s">
        <v>212</v>
      </c>
      <c r="C234" s="214">
        <v>2</v>
      </c>
      <c r="D234" s="244" t="s">
        <v>131</v>
      </c>
      <c r="E234" s="241">
        <v>405600</v>
      </c>
      <c r="F234" s="215">
        <f t="shared" si="4"/>
        <v>811200</v>
      </c>
      <c r="G234" s="199" t="s">
        <v>1409</v>
      </c>
      <c r="J234" s="36">
        <f t="shared" si="5"/>
        <v>811200</v>
      </c>
    </row>
    <row r="235" spans="1:25" x14ac:dyDescent="0.25">
      <c r="A235" s="229"/>
      <c r="B235" s="213" t="s">
        <v>213</v>
      </c>
      <c r="C235" s="214">
        <v>1</v>
      </c>
      <c r="D235" s="244" t="s">
        <v>131</v>
      </c>
      <c r="E235" s="241">
        <v>3800000</v>
      </c>
      <c r="F235" s="215">
        <f t="shared" si="4"/>
        <v>3800000</v>
      </c>
      <c r="G235" s="199" t="s">
        <v>1409</v>
      </c>
      <c r="J235" s="36">
        <f t="shared" si="5"/>
        <v>3800000</v>
      </c>
    </row>
    <row r="236" spans="1:25" ht="24.75" x14ac:dyDescent="0.25">
      <c r="A236" s="250"/>
      <c r="B236" s="213" t="s">
        <v>2583</v>
      </c>
      <c r="C236" s="214">
        <v>3</v>
      </c>
      <c r="D236" s="244" t="s">
        <v>115</v>
      </c>
      <c r="E236" s="241">
        <v>100000</v>
      </c>
      <c r="F236" s="215">
        <f t="shared" si="4"/>
        <v>300000</v>
      </c>
      <c r="G236" s="251" t="s">
        <v>2575</v>
      </c>
      <c r="J236" s="36"/>
      <c r="X236" s="36">
        <f>F236</f>
        <v>300000</v>
      </c>
    </row>
    <row r="237" spans="1:25" x14ac:dyDescent="0.25">
      <c r="A237" s="203" t="s">
        <v>1846</v>
      </c>
      <c r="B237" s="213" t="s">
        <v>1847</v>
      </c>
      <c r="C237" s="214"/>
      <c r="D237" s="244"/>
      <c r="E237" s="241"/>
      <c r="F237" s="215"/>
      <c r="G237" s="199"/>
      <c r="J237" s="36">
        <f t="shared" si="5"/>
        <v>0</v>
      </c>
    </row>
    <row r="238" spans="1:25" ht="24.75" x14ac:dyDescent="0.25">
      <c r="A238" s="203"/>
      <c r="B238" s="213" t="s">
        <v>1848</v>
      </c>
      <c r="C238" s="214">
        <v>12</v>
      </c>
      <c r="D238" s="244" t="s">
        <v>127</v>
      </c>
      <c r="E238" s="241">
        <v>10000</v>
      </c>
      <c r="F238" s="215">
        <f>E238*C238</f>
        <v>120000</v>
      </c>
      <c r="G238" s="251" t="s">
        <v>2567</v>
      </c>
      <c r="J238" s="36"/>
      <c r="O238" s="36">
        <f>F238</f>
        <v>120000</v>
      </c>
    </row>
    <row r="239" spans="1:25" x14ac:dyDescent="0.25">
      <c r="A239" s="203" t="s">
        <v>214</v>
      </c>
      <c r="B239" s="213" t="s">
        <v>215</v>
      </c>
      <c r="C239" s="214"/>
      <c r="D239" s="244"/>
      <c r="E239" s="241"/>
      <c r="F239" s="215"/>
      <c r="G239" s="199"/>
      <c r="J239" s="36">
        <f t="shared" si="5"/>
        <v>0</v>
      </c>
    </row>
    <row r="240" spans="1:25" x14ac:dyDescent="0.25">
      <c r="A240" s="203" t="s">
        <v>216</v>
      </c>
      <c r="B240" s="213" t="s">
        <v>217</v>
      </c>
      <c r="C240" s="214"/>
      <c r="D240" s="244"/>
      <c r="E240" s="241"/>
      <c r="F240" s="215"/>
      <c r="G240" s="199"/>
      <c r="J240" s="36">
        <f t="shared" si="5"/>
        <v>0</v>
      </c>
    </row>
    <row r="241" spans="1:10" x14ac:dyDescent="0.25">
      <c r="A241" s="203"/>
      <c r="B241" s="213" t="s">
        <v>218</v>
      </c>
      <c r="C241" s="214"/>
      <c r="D241" s="206"/>
      <c r="E241" s="241"/>
      <c r="F241" s="215"/>
      <c r="G241" s="199"/>
      <c r="J241" s="36">
        <f t="shared" si="5"/>
        <v>0</v>
      </c>
    </row>
    <row r="242" spans="1:10" x14ac:dyDescent="0.25">
      <c r="A242" s="203"/>
      <c r="B242" s="213" t="s">
        <v>2792</v>
      </c>
      <c r="C242" s="214">
        <v>1</v>
      </c>
      <c r="D242" s="206" t="s">
        <v>195</v>
      </c>
      <c r="E242" s="241">
        <v>3600000</v>
      </c>
      <c r="F242" s="215">
        <f>E242*C242</f>
        <v>3600000</v>
      </c>
      <c r="G242" s="199" t="s">
        <v>1409</v>
      </c>
      <c r="J242" s="36">
        <f>F242</f>
        <v>3600000</v>
      </c>
    </row>
    <row r="243" spans="1:10" x14ac:dyDescent="0.25">
      <c r="A243" s="212"/>
      <c r="B243" s="213" t="s">
        <v>2793</v>
      </c>
      <c r="C243" s="214">
        <v>1</v>
      </c>
      <c r="D243" s="206" t="s">
        <v>195</v>
      </c>
      <c r="E243" s="237">
        <v>2700000</v>
      </c>
      <c r="F243" s="215">
        <f t="shared" ref="F243:F273" si="6">E243*C243</f>
        <v>2700000</v>
      </c>
      <c r="G243" s="199" t="s">
        <v>1409</v>
      </c>
      <c r="J243" s="36">
        <f t="shared" si="5"/>
        <v>2700000</v>
      </c>
    </row>
    <row r="244" spans="1:10" x14ac:dyDescent="0.25">
      <c r="A244" s="212"/>
      <c r="B244" s="213" t="s">
        <v>220</v>
      </c>
      <c r="C244" s="214">
        <v>1</v>
      </c>
      <c r="D244" s="206" t="s">
        <v>221</v>
      </c>
      <c r="E244" s="237">
        <v>2250000</v>
      </c>
      <c r="F244" s="215">
        <f t="shared" si="6"/>
        <v>2250000</v>
      </c>
      <c r="G244" s="199" t="s">
        <v>1409</v>
      </c>
      <c r="J244" s="36">
        <f t="shared" si="5"/>
        <v>2250000</v>
      </c>
    </row>
    <row r="245" spans="1:10" x14ac:dyDescent="0.25">
      <c r="A245" s="212"/>
      <c r="B245" s="248" t="s">
        <v>2794</v>
      </c>
      <c r="C245" s="214">
        <v>1</v>
      </c>
      <c r="D245" s="206" t="s">
        <v>221</v>
      </c>
      <c r="E245" s="241">
        <v>1500000</v>
      </c>
      <c r="F245" s="215">
        <f t="shared" si="6"/>
        <v>1500000</v>
      </c>
      <c r="G245" s="199" t="s">
        <v>1409</v>
      </c>
      <c r="J245" s="36">
        <f t="shared" si="5"/>
        <v>1500000</v>
      </c>
    </row>
    <row r="246" spans="1:10" x14ac:dyDescent="0.25">
      <c r="A246" s="212"/>
      <c r="B246" s="248" t="s">
        <v>223</v>
      </c>
      <c r="C246" s="214">
        <v>1</v>
      </c>
      <c r="D246" s="206" t="s">
        <v>221</v>
      </c>
      <c r="E246" s="241">
        <v>4000000</v>
      </c>
      <c r="F246" s="215">
        <f t="shared" si="6"/>
        <v>4000000</v>
      </c>
      <c r="G246" s="199" t="s">
        <v>1409</v>
      </c>
      <c r="J246" s="36">
        <f t="shared" si="5"/>
        <v>4000000</v>
      </c>
    </row>
    <row r="247" spans="1:10" x14ac:dyDescent="0.25">
      <c r="A247" s="212"/>
      <c r="B247" s="248" t="s">
        <v>224</v>
      </c>
      <c r="C247" s="214">
        <v>1</v>
      </c>
      <c r="D247" s="206" t="s">
        <v>221</v>
      </c>
      <c r="E247" s="241">
        <v>500000</v>
      </c>
      <c r="F247" s="215">
        <f t="shared" si="6"/>
        <v>500000</v>
      </c>
      <c r="G247" s="199" t="s">
        <v>1409</v>
      </c>
      <c r="J247" s="36">
        <f t="shared" si="5"/>
        <v>500000</v>
      </c>
    </row>
    <row r="248" spans="1:10" x14ac:dyDescent="0.25">
      <c r="A248" s="212"/>
      <c r="B248" s="248"/>
      <c r="C248" s="214"/>
      <c r="D248" s="206"/>
      <c r="E248" s="241"/>
      <c r="F248" s="215"/>
      <c r="G248" s="199"/>
      <c r="J248" s="36">
        <f t="shared" ref="J248:J273" si="7">F248</f>
        <v>0</v>
      </c>
    </row>
    <row r="249" spans="1:10" x14ac:dyDescent="0.25">
      <c r="A249" s="212" t="s">
        <v>225</v>
      </c>
      <c r="B249" s="213" t="s">
        <v>226</v>
      </c>
      <c r="C249" s="214"/>
      <c r="D249" s="206"/>
      <c r="E249" s="241"/>
      <c r="F249" s="215"/>
      <c r="G249" s="199"/>
      <c r="J249" s="36">
        <f t="shared" si="7"/>
        <v>0</v>
      </c>
    </row>
    <row r="250" spans="1:10" x14ac:dyDescent="0.25">
      <c r="A250" s="212"/>
      <c r="B250" s="213" t="s">
        <v>2584</v>
      </c>
      <c r="C250" s="214">
        <v>1</v>
      </c>
      <c r="D250" s="206" t="s">
        <v>195</v>
      </c>
      <c r="E250" s="1540">
        <v>3300000</v>
      </c>
      <c r="F250" s="215">
        <f t="shared" si="6"/>
        <v>3300000</v>
      </c>
      <c r="G250" s="199" t="s">
        <v>1409</v>
      </c>
      <c r="J250" s="36">
        <f t="shared" si="7"/>
        <v>3300000</v>
      </c>
    </row>
    <row r="251" spans="1:10" ht="21.75" customHeight="1" x14ac:dyDescent="0.25">
      <c r="A251" s="212"/>
      <c r="B251" s="213" t="s">
        <v>2847</v>
      </c>
      <c r="C251" s="214">
        <v>1</v>
      </c>
      <c r="D251" s="206" t="s">
        <v>195</v>
      </c>
      <c r="E251" s="1540">
        <v>11381900</v>
      </c>
      <c r="F251" s="215">
        <f>E251*C251</f>
        <v>11381900</v>
      </c>
      <c r="G251" s="199" t="s">
        <v>1409</v>
      </c>
      <c r="H251" s="32"/>
      <c r="J251" s="36">
        <f>F251</f>
        <v>11381900</v>
      </c>
    </row>
    <row r="252" spans="1:10" x14ac:dyDescent="0.25">
      <c r="A252" s="212"/>
      <c r="B252" s="213" t="s">
        <v>2585</v>
      </c>
      <c r="C252" s="214">
        <v>1</v>
      </c>
      <c r="D252" s="206" t="s">
        <v>195</v>
      </c>
      <c r="E252" s="1541">
        <v>4500000</v>
      </c>
      <c r="F252" s="215">
        <f t="shared" si="6"/>
        <v>4500000</v>
      </c>
      <c r="G252" s="199" t="s">
        <v>1409</v>
      </c>
      <c r="J252" s="36">
        <f t="shared" si="7"/>
        <v>4500000</v>
      </c>
    </row>
    <row r="253" spans="1:10" x14ac:dyDescent="0.25">
      <c r="A253" s="212"/>
      <c r="B253" s="213" t="s">
        <v>227</v>
      </c>
      <c r="C253" s="214">
        <v>1</v>
      </c>
      <c r="D253" s="206" t="s">
        <v>195</v>
      </c>
      <c r="E253" s="241">
        <v>900000</v>
      </c>
      <c r="F253" s="215">
        <f t="shared" si="6"/>
        <v>900000</v>
      </c>
      <c r="G253" s="199" t="s">
        <v>1409</v>
      </c>
      <c r="J253" s="36">
        <f t="shared" si="7"/>
        <v>900000</v>
      </c>
    </row>
    <row r="254" spans="1:10" x14ac:dyDescent="0.25">
      <c r="A254" s="212"/>
      <c r="B254" s="213" t="s">
        <v>228</v>
      </c>
      <c r="C254" s="214">
        <v>1</v>
      </c>
      <c r="D254" s="206" t="s">
        <v>195</v>
      </c>
      <c r="E254" s="241">
        <v>1000000</v>
      </c>
      <c r="F254" s="215">
        <f t="shared" si="6"/>
        <v>1000000</v>
      </c>
      <c r="G254" s="199" t="s">
        <v>1409</v>
      </c>
      <c r="J254" s="36">
        <f t="shared" si="7"/>
        <v>1000000</v>
      </c>
    </row>
    <row r="255" spans="1:10" x14ac:dyDescent="0.25">
      <c r="A255" s="212"/>
      <c r="B255" s="213" t="s">
        <v>2586</v>
      </c>
      <c r="C255" s="214">
        <v>1</v>
      </c>
      <c r="D255" s="206" t="s">
        <v>195</v>
      </c>
      <c r="E255" s="241">
        <v>1500000</v>
      </c>
      <c r="F255" s="215">
        <f t="shared" si="6"/>
        <v>1500000</v>
      </c>
      <c r="G255" s="199" t="s">
        <v>1409</v>
      </c>
      <c r="J255" s="36">
        <f t="shared" si="7"/>
        <v>1500000</v>
      </c>
    </row>
    <row r="256" spans="1:10" x14ac:dyDescent="0.25">
      <c r="A256" s="212"/>
      <c r="B256" s="213" t="s">
        <v>2587</v>
      </c>
      <c r="C256" s="214">
        <v>1</v>
      </c>
      <c r="D256" s="206" t="s">
        <v>195</v>
      </c>
      <c r="E256" s="241">
        <v>6300112</v>
      </c>
      <c r="F256" s="215">
        <f t="shared" si="6"/>
        <v>6300112</v>
      </c>
      <c r="G256" s="199" t="s">
        <v>1409</v>
      </c>
      <c r="H256" s="32"/>
      <c r="J256" s="36">
        <f t="shared" si="7"/>
        <v>6300112</v>
      </c>
    </row>
    <row r="257" spans="1:19" x14ac:dyDescent="0.25">
      <c r="A257" s="212"/>
      <c r="B257" s="213" t="s">
        <v>230</v>
      </c>
      <c r="C257" s="214">
        <v>1</v>
      </c>
      <c r="D257" s="206" t="s">
        <v>195</v>
      </c>
      <c r="E257" s="241">
        <v>600000</v>
      </c>
      <c r="F257" s="215">
        <f t="shared" si="6"/>
        <v>600000</v>
      </c>
      <c r="G257" s="199" t="s">
        <v>1409</v>
      </c>
      <c r="J257" s="36">
        <f t="shared" si="7"/>
        <v>600000</v>
      </c>
    </row>
    <row r="258" spans="1:19" x14ac:dyDescent="0.25">
      <c r="A258" s="212"/>
      <c r="B258" s="213" t="s">
        <v>231</v>
      </c>
      <c r="C258" s="214">
        <v>1</v>
      </c>
      <c r="D258" s="206" t="s">
        <v>195</v>
      </c>
      <c r="E258" s="237">
        <v>4000000</v>
      </c>
      <c r="F258" s="215">
        <f t="shared" si="6"/>
        <v>4000000</v>
      </c>
      <c r="G258" s="199" t="s">
        <v>1409</v>
      </c>
      <c r="J258" s="36">
        <f t="shared" si="7"/>
        <v>4000000</v>
      </c>
    </row>
    <row r="259" spans="1:19" x14ac:dyDescent="0.25">
      <c r="A259" s="212"/>
      <c r="B259" s="213" t="s">
        <v>232</v>
      </c>
      <c r="C259" s="214">
        <v>1</v>
      </c>
      <c r="D259" s="206" t="s">
        <v>195</v>
      </c>
      <c r="E259" s="241">
        <v>400000</v>
      </c>
      <c r="F259" s="215">
        <f t="shared" si="6"/>
        <v>400000</v>
      </c>
      <c r="G259" s="199" t="s">
        <v>1409</v>
      </c>
      <c r="J259" s="36">
        <f t="shared" si="7"/>
        <v>400000</v>
      </c>
    </row>
    <row r="260" spans="1:19" x14ac:dyDescent="0.25">
      <c r="A260" s="212"/>
      <c r="B260" s="213" t="s">
        <v>233</v>
      </c>
      <c r="C260" s="214">
        <v>1</v>
      </c>
      <c r="D260" s="206" t="s">
        <v>195</v>
      </c>
      <c r="E260" s="241">
        <v>3122876</v>
      </c>
      <c r="F260" s="215">
        <f t="shared" si="6"/>
        <v>3122876</v>
      </c>
      <c r="G260" s="199" t="s">
        <v>1409</v>
      </c>
      <c r="J260" s="36">
        <f t="shared" si="7"/>
        <v>3122876</v>
      </c>
    </row>
    <row r="261" spans="1:19" ht="24.75" x14ac:dyDescent="0.25">
      <c r="A261" s="203"/>
      <c r="B261" s="213" t="s">
        <v>234</v>
      </c>
      <c r="C261" s="214">
        <v>1</v>
      </c>
      <c r="D261" s="206" t="s">
        <v>195</v>
      </c>
      <c r="E261" s="241">
        <v>10700000</v>
      </c>
      <c r="F261" s="215">
        <f>E261*C261</f>
        <v>10700000</v>
      </c>
      <c r="G261" s="251" t="s">
        <v>2570</v>
      </c>
      <c r="H261" s="32"/>
      <c r="J261" s="36"/>
      <c r="K261" s="36"/>
      <c r="P261" s="36"/>
      <c r="S261" s="36">
        <f>F261</f>
        <v>10700000</v>
      </c>
    </row>
    <row r="262" spans="1:19" x14ac:dyDescent="0.25">
      <c r="A262" s="203"/>
      <c r="B262" s="213" t="s">
        <v>2588</v>
      </c>
      <c r="C262" s="214">
        <v>1</v>
      </c>
      <c r="D262" s="206" t="s">
        <v>195</v>
      </c>
      <c r="E262" s="241">
        <v>5400000</v>
      </c>
      <c r="F262" s="215">
        <f t="shared" si="6"/>
        <v>5400000</v>
      </c>
      <c r="G262" s="199" t="s">
        <v>1409</v>
      </c>
      <c r="J262" s="36">
        <f t="shared" si="7"/>
        <v>5400000</v>
      </c>
    </row>
    <row r="263" spans="1:19" x14ac:dyDescent="0.25">
      <c r="A263" s="203"/>
      <c r="B263" s="213" t="s">
        <v>235</v>
      </c>
      <c r="C263" s="214">
        <v>1</v>
      </c>
      <c r="D263" s="206" t="s">
        <v>195</v>
      </c>
      <c r="E263" s="241">
        <v>1000000</v>
      </c>
      <c r="F263" s="215">
        <f t="shared" si="6"/>
        <v>1000000</v>
      </c>
      <c r="G263" s="199" t="s">
        <v>1409</v>
      </c>
      <c r="J263" s="36">
        <f t="shared" si="7"/>
        <v>1000000</v>
      </c>
    </row>
    <row r="264" spans="1:19" x14ac:dyDescent="0.25">
      <c r="A264" s="203"/>
      <c r="B264" s="213" t="s">
        <v>477</v>
      </c>
      <c r="C264" s="214">
        <v>1</v>
      </c>
      <c r="D264" s="206" t="s">
        <v>195</v>
      </c>
      <c r="E264" s="241">
        <v>15000000</v>
      </c>
      <c r="F264" s="215">
        <f>C264*E264</f>
        <v>15000000</v>
      </c>
      <c r="G264" s="199" t="s">
        <v>1409</v>
      </c>
      <c r="J264" s="36">
        <f t="shared" si="7"/>
        <v>15000000</v>
      </c>
    </row>
    <row r="265" spans="1:19" x14ac:dyDescent="0.25">
      <c r="A265" s="203"/>
      <c r="B265" s="213"/>
      <c r="C265" s="214"/>
      <c r="D265" s="206"/>
      <c r="E265" s="241"/>
      <c r="F265" s="215"/>
      <c r="G265" s="199"/>
      <c r="J265" s="36">
        <f t="shared" si="7"/>
        <v>0</v>
      </c>
    </row>
    <row r="266" spans="1:19" ht="36.75" x14ac:dyDescent="0.25">
      <c r="A266" s="212" t="s">
        <v>236</v>
      </c>
      <c r="B266" s="213" t="s">
        <v>237</v>
      </c>
      <c r="C266" s="214"/>
      <c r="D266" s="206"/>
      <c r="E266" s="241"/>
      <c r="F266" s="215"/>
      <c r="G266" s="199"/>
      <c r="J266" s="36">
        <f t="shared" si="7"/>
        <v>0</v>
      </c>
    </row>
    <row r="267" spans="1:19" x14ac:dyDescent="0.25">
      <c r="A267" s="212"/>
      <c r="B267" s="213" t="s">
        <v>238</v>
      </c>
      <c r="C267" s="214">
        <v>1</v>
      </c>
      <c r="D267" s="206" t="s">
        <v>195</v>
      </c>
      <c r="E267" s="241">
        <v>5000000</v>
      </c>
      <c r="F267" s="215">
        <f t="shared" si="6"/>
        <v>5000000</v>
      </c>
      <c r="G267" s="199" t="s">
        <v>1409</v>
      </c>
      <c r="J267" s="36">
        <f t="shared" si="7"/>
        <v>5000000</v>
      </c>
    </row>
    <row r="268" spans="1:19" x14ac:dyDescent="0.25">
      <c r="A268" s="203"/>
      <c r="B268" s="213" t="s">
        <v>239</v>
      </c>
      <c r="C268" s="214">
        <v>1</v>
      </c>
      <c r="D268" s="206" t="s">
        <v>195</v>
      </c>
      <c r="E268" s="241">
        <v>1000000</v>
      </c>
      <c r="F268" s="215">
        <f t="shared" si="6"/>
        <v>1000000</v>
      </c>
      <c r="G268" s="199" t="s">
        <v>1409</v>
      </c>
      <c r="J268" s="36">
        <f t="shared" si="7"/>
        <v>1000000</v>
      </c>
    </row>
    <row r="269" spans="1:19" x14ac:dyDescent="0.25">
      <c r="A269" s="203"/>
      <c r="B269" s="213" t="s">
        <v>240</v>
      </c>
      <c r="C269" s="214">
        <v>1</v>
      </c>
      <c r="D269" s="206" t="s">
        <v>195</v>
      </c>
      <c r="E269" s="241">
        <v>1000000</v>
      </c>
      <c r="F269" s="215">
        <f t="shared" si="6"/>
        <v>1000000</v>
      </c>
      <c r="G269" s="199" t="s">
        <v>1409</v>
      </c>
      <c r="J269" s="36">
        <f t="shared" si="7"/>
        <v>1000000</v>
      </c>
    </row>
    <row r="270" spans="1:19" x14ac:dyDescent="0.25">
      <c r="A270" s="203"/>
      <c r="B270" s="213" t="s">
        <v>241</v>
      </c>
      <c r="C270" s="214">
        <v>1</v>
      </c>
      <c r="D270" s="206" t="s">
        <v>195</v>
      </c>
      <c r="E270" s="241">
        <v>500000</v>
      </c>
      <c r="F270" s="215">
        <f t="shared" si="6"/>
        <v>500000</v>
      </c>
      <c r="G270" s="199" t="s">
        <v>1409</v>
      </c>
      <c r="J270" s="36">
        <f t="shared" si="7"/>
        <v>500000</v>
      </c>
    </row>
    <row r="271" spans="1:19" x14ac:dyDescent="0.25">
      <c r="A271" s="212"/>
      <c r="B271" s="213" t="s">
        <v>242</v>
      </c>
      <c r="C271" s="214">
        <v>1</v>
      </c>
      <c r="D271" s="206" t="s">
        <v>195</v>
      </c>
      <c r="E271" s="241">
        <v>3000000</v>
      </c>
      <c r="F271" s="215">
        <f t="shared" si="6"/>
        <v>3000000</v>
      </c>
      <c r="G271" s="199" t="s">
        <v>1409</v>
      </c>
      <c r="J271" s="36">
        <f t="shared" si="7"/>
        <v>3000000</v>
      </c>
    </row>
    <row r="272" spans="1:19" x14ac:dyDescent="0.25">
      <c r="A272" s="203"/>
      <c r="B272" s="213" t="s">
        <v>243</v>
      </c>
      <c r="C272" s="214">
        <v>1</v>
      </c>
      <c r="D272" s="206" t="s">
        <v>195</v>
      </c>
      <c r="E272" s="241">
        <v>500000</v>
      </c>
      <c r="F272" s="215">
        <f t="shared" si="6"/>
        <v>500000</v>
      </c>
      <c r="G272" s="199" t="s">
        <v>1409</v>
      </c>
      <c r="J272" s="36">
        <f t="shared" si="7"/>
        <v>500000</v>
      </c>
    </row>
    <row r="273" spans="1:10" x14ac:dyDescent="0.25">
      <c r="A273" s="203"/>
      <c r="B273" s="213" t="s">
        <v>244</v>
      </c>
      <c r="C273" s="214">
        <v>1</v>
      </c>
      <c r="D273" s="206" t="s">
        <v>195</v>
      </c>
      <c r="E273" s="241">
        <v>500000</v>
      </c>
      <c r="F273" s="215">
        <f t="shared" si="6"/>
        <v>500000</v>
      </c>
      <c r="G273" s="199" t="s">
        <v>1409</v>
      </c>
      <c r="J273" s="36">
        <f t="shared" si="7"/>
        <v>500000</v>
      </c>
    </row>
    <row r="274" spans="1:10" x14ac:dyDescent="0.25">
      <c r="A274" s="203"/>
      <c r="B274" s="213"/>
      <c r="C274" s="214"/>
      <c r="D274" s="206"/>
      <c r="E274" s="241"/>
      <c r="F274" s="252"/>
      <c r="G274" s="1"/>
    </row>
    <row r="275" spans="1:10" x14ac:dyDescent="0.25">
      <c r="A275" s="212"/>
      <c r="B275" s="213"/>
      <c r="C275" s="214"/>
      <c r="D275" s="206"/>
      <c r="E275" s="241"/>
      <c r="F275" s="252"/>
      <c r="G275" s="1"/>
    </row>
    <row r="276" spans="1:10" x14ac:dyDescent="0.25">
      <c r="A276" s="1823" t="s">
        <v>26</v>
      </c>
      <c r="B276" s="1794"/>
      <c r="C276" s="1794"/>
      <c r="D276" s="1794"/>
      <c r="E276" s="1795"/>
      <c r="F276" s="215">
        <f>SUM(F117:F275)</f>
        <v>595935188</v>
      </c>
      <c r="G276" s="1"/>
    </row>
    <row r="277" spans="1:10" x14ac:dyDescent="0.25">
      <c r="F277" t="s">
        <v>478</v>
      </c>
    </row>
    <row r="278" spans="1:10" x14ac:dyDescent="0.25">
      <c r="A278" s="1762" t="s">
        <v>549</v>
      </c>
      <c r="B278" s="1762"/>
      <c r="C278" s="188" t="s">
        <v>27</v>
      </c>
      <c r="D278" s="1763" t="s">
        <v>1426</v>
      </c>
      <c r="E278" s="1763"/>
      <c r="F278" s="1763"/>
      <c r="G278" s="188"/>
    </row>
    <row r="279" spans="1:10" x14ac:dyDescent="0.25">
      <c r="A279" s="1762" t="s">
        <v>28</v>
      </c>
      <c r="B279" s="1762"/>
      <c r="C279" s="188"/>
      <c r="D279" s="1764" t="s">
        <v>2832</v>
      </c>
      <c r="E279" s="1764"/>
      <c r="F279" s="1764"/>
      <c r="G279" s="188"/>
      <c r="H279" s="36"/>
    </row>
    <row r="280" spans="1:10" x14ac:dyDescent="0.25">
      <c r="A280" s="186"/>
      <c r="B280" s="187"/>
      <c r="C280" s="188"/>
      <c r="D280" s="189"/>
      <c r="E280" s="218"/>
      <c r="F280" s="218"/>
      <c r="G280" s="188"/>
    </row>
    <row r="281" spans="1:10" x14ac:dyDescent="0.25">
      <c r="A281" s="186"/>
      <c r="B281" s="187"/>
      <c r="C281" s="188"/>
      <c r="D281" s="189"/>
      <c r="E281" s="218"/>
      <c r="F281" s="218"/>
      <c r="G281" s="188"/>
    </row>
    <row r="282" spans="1:10" x14ac:dyDescent="0.25">
      <c r="A282" s="1762"/>
      <c r="B282" s="1762"/>
      <c r="C282" s="188"/>
      <c r="D282" s="189"/>
      <c r="E282" s="1762"/>
      <c r="F282" s="1762"/>
      <c r="G282" s="188"/>
    </row>
    <row r="283" spans="1:10" x14ac:dyDescent="0.25">
      <c r="A283" s="1762" t="s">
        <v>29</v>
      </c>
      <c r="B283" s="1762"/>
      <c r="C283" s="188"/>
      <c r="D283" s="1762" t="s">
        <v>2989</v>
      </c>
      <c r="E283" s="1762"/>
      <c r="F283" s="1762"/>
      <c r="G283" s="188"/>
    </row>
    <row r="286" spans="1:10" x14ac:dyDescent="0.25">
      <c r="A286" s="1765" t="s">
        <v>0</v>
      </c>
      <c r="B286" s="1765"/>
      <c r="C286" s="1765"/>
      <c r="D286" s="1765"/>
      <c r="E286" s="1765"/>
      <c r="F286" s="1765"/>
      <c r="G286" s="1765"/>
    </row>
    <row r="287" spans="1:10" x14ac:dyDescent="0.25">
      <c r="A287" s="1765" t="s">
        <v>1</v>
      </c>
      <c r="B287" s="1765"/>
      <c r="C287" s="1765"/>
      <c r="D287" s="1765"/>
      <c r="E287" s="1765"/>
      <c r="F287" s="1765"/>
      <c r="G287" s="1765"/>
    </row>
    <row r="288" spans="1:10" x14ac:dyDescent="0.25">
      <c r="A288" s="1765" t="s">
        <v>1769</v>
      </c>
      <c r="B288" s="1765"/>
      <c r="C288" s="1765"/>
      <c r="D288" s="1765"/>
      <c r="E288" s="1765"/>
      <c r="F288" s="1765"/>
      <c r="G288" s="1765"/>
    </row>
    <row r="289" spans="1:8" x14ac:dyDescent="0.25">
      <c r="A289" s="184"/>
      <c r="B289" s="184"/>
      <c r="C289" s="184"/>
      <c r="D289" s="184"/>
      <c r="E289" s="184"/>
      <c r="F289" s="184"/>
      <c r="G289" s="185"/>
    </row>
    <row r="290" spans="1:8" x14ac:dyDescent="0.25">
      <c r="A290" s="253" t="s">
        <v>246</v>
      </c>
      <c r="B290" s="254" t="s">
        <v>3</v>
      </c>
      <c r="C290" s="188"/>
      <c r="D290" s="189"/>
      <c r="E290" s="190"/>
      <c r="F290" s="191"/>
      <c r="G290" s="188"/>
    </row>
    <row r="291" spans="1:8" ht="36.75" x14ac:dyDescent="0.25">
      <c r="A291" s="220" t="s">
        <v>247</v>
      </c>
      <c r="B291" s="187" t="s">
        <v>5</v>
      </c>
      <c r="C291" s="188"/>
      <c r="D291" s="189"/>
      <c r="E291" s="227"/>
      <c r="F291" s="191"/>
      <c r="G291" s="188"/>
      <c r="H291" t="s">
        <v>474</v>
      </c>
    </row>
    <row r="292" spans="1:8" ht="24" x14ac:dyDescent="0.25">
      <c r="A292" s="220" t="s">
        <v>7</v>
      </c>
      <c r="B292" s="254" t="s">
        <v>475</v>
      </c>
      <c r="C292" s="188"/>
      <c r="D292" s="189"/>
      <c r="E292" s="195"/>
      <c r="F292" s="196"/>
      <c r="G292" s="188"/>
    </row>
    <row r="293" spans="1:8" x14ac:dyDescent="0.25">
      <c r="A293" s="192" t="s">
        <v>35</v>
      </c>
      <c r="B293" s="187"/>
      <c r="C293" s="188"/>
      <c r="D293" s="189"/>
      <c r="E293" s="190"/>
      <c r="F293" s="191"/>
      <c r="G293" s="188"/>
    </row>
    <row r="294" spans="1:8" x14ac:dyDescent="0.25">
      <c r="A294" s="192" t="s">
        <v>10</v>
      </c>
      <c r="B294" s="187"/>
      <c r="C294" s="188"/>
      <c r="D294" s="189"/>
      <c r="E294" s="190"/>
      <c r="F294" s="191"/>
      <c r="G294" s="188"/>
    </row>
    <row r="295" spans="1:8" ht="24" x14ac:dyDescent="0.25">
      <c r="A295" s="197" t="s">
        <v>30</v>
      </c>
      <c r="B295" s="198" t="s">
        <v>31</v>
      </c>
      <c r="C295" s="1773" t="s">
        <v>12</v>
      </c>
      <c r="D295" s="1774"/>
      <c r="E295" s="198" t="s">
        <v>32</v>
      </c>
      <c r="F295" s="199" t="s">
        <v>33</v>
      </c>
      <c r="G295" s="197" t="s">
        <v>34</v>
      </c>
    </row>
    <row r="296" spans="1:8" x14ac:dyDescent="0.25">
      <c r="A296" s="200">
        <v>1</v>
      </c>
      <c r="B296" s="200">
        <v>2</v>
      </c>
      <c r="C296" s="1789">
        <v>3</v>
      </c>
      <c r="D296" s="1789"/>
      <c r="E296" s="201">
        <v>4</v>
      </c>
      <c r="F296" s="202">
        <v>5</v>
      </c>
      <c r="G296" s="202">
        <v>6</v>
      </c>
    </row>
    <row r="297" spans="1:8" x14ac:dyDescent="0.25">
      <c r="A297" s="203" t="s">
        <v>83</v>
      </c>
      <c r="B297" s="204" t="s">
        <v>84</v>
      </c>
      <c r="C297" s="205"/>
      <c r="D297" s="206"/>
      <c r="E297" s="197"/>
      <c r="F297" s="199"/>
      <c r="G297" s="197"/>
    </row>
    <row r="298" spans="1:8" x14ac:dyDescent="0.25">
      <c r="A298" s="203" t="s">
        <v>85</v>
      </c>
      <c r="B298" s="204" t="s">
        <v>86</v>
      </c>
      <c r="C298" s="205"/>
      <c r="D298" s="206"/>
      <c r="E298" s="197"/>
      <c r="F298" s="199"/>
      <c r="G298" s="197"/>
    </row>
    <row r="299" spans="1:8" ht="24.75" x14ac:dyDescent="0.25">
      <c r="A299" s="255" t="s">
        <v>150</v>
      </c>
      <c r="B299" s="213" t="s">
        <v>405</v>
      </c>
      <c r="C299" s="214"/>
      <c r="D299" s="244"/>
      <c r="E299" s="215"/>
      <c r="F299" s="215"/>
      <c r="G299" s="199"/>
    </row>
    <row r="300" spans="1:8" x14ac:dyDescent="0.25">
      <c r="A300" s="256"/>
      <c r="B300" s="217" t="s">
        <v>1428</v>
      </c>
      <c r="C300" s="214">
        <v>1800</v>
      </c>
      <c r="D300" s="244" t="s">
        <v>279</v>
      </c>
      <c r="E300" s="215">
        <v>15000</v>
      </c>
      <c r="F300" s="215">
        <f>E300*C300</f>
        <v>27000000</v>
      </c>
      <c r="G300" s="199"/>
    </row>
    <row r="301" spans="1:8" x14ac:dyDescent="0.25">
      <c r="A301" s="257"/>
      <c r="B301" s="258"/>
      <c r="C301" s="214"/>
      <c r="D301" s="244"/>
      <c r="E301" s="215"/>
      <c r="F301" s="215"/>
      <c r="G301" s="199"/>
    </row>
    <row r="302" spans="1:8" x14ac:dyDescent="0.25">
      <c r="A302" s="203" t="s">
        <v>476</v>
      </c>
      <c r="B302" s="204" t="s">
        <v>340</v>
      </c>
      <c r="C302" s="205"/>
      <c r="D302" s="206"/>
      <c r="E302" s="259"/>
      <c r="F302" s="239"/>
      <c r="G302" s="197"/>
    </row>
    <row r="303" spans="1:8" x14ac:dyDescent="0.25">
      <c r="A303" s="203"/>
      <c r="B303" s="204" t="s">
        <v>296</v>
      </c>
      <c r="C303" s="205">
        <v>36</v>
      </c>
      <c r="D303" s="206" t="s">
        <v>297</v>
      </c>
      <c r="E303" s="259">
        <v>50000</v>
      </c>
      <c r="F303" s="239">
        <f>E303*C303</f>
        <v>1800000</v>
      </c>
      <c r="G303" s="197"/>
    </row>
    <row r="304" spans="1:8" x14ac:dyDescent="0.25">
      <c r="A304" s="203"/>
      <c r="B304" s="204" t="s">
        <v>372</v>
      </c>
      <c r="C304" s="205">
        <v>12</v>
      </c>
      <c r="D304" s="206" t="s">
        <v>165</v>
      </c>
      <c r="E304" s="259">
        <v>5000</v>
      </c>
      <c r="F304" s="239">
        <f>E304*C304</f>
        <v>60000</v>
      </c>
      <c r="G304" s="197"/>
    </row>
    <row r="305" spans="1:11" x14ac:dyDescent="0.25">
      <c r="A305" s="203"/>
      <c r="B305" s="204" t="s">
        <v>299</v>
      </c>
      <c r="C305" s="205">
        <v>12</v>
      </c>
      <c r="D305" s="206" t="s">
        <v>300</v>
      </c>
      <c r="E305" s="259">
        <v>10000</v>
      </c>
      <c r="F305" s="239">
        <f>E305*C305</f>
        <v>120000</v>
      </c>
      <c r="G305" s="197"/>
    </row>
    <row r="306" spans="1:11" x14ac:dyDescent="0.25">
      <c r="A306" s="203"/>
      <c r="B306" s="204"/>
      <c r="C306" s="205"/>
      <c r="D306" s="206"/>
      <c r="E306" s="259"/>
      <c r="F306" s="239"/>
      <c r="G306" s="197"/>
    </row>
    <row r="307" spans="1:11" x14ac:dyDescent="0.25">
      <c r="A307" s="1791" t="s">
        <v>26</v>
      </c>
      <c r="B307" s="1792"/>
      <c r="C307" s="1792"/>
      <c r="D307" s="1792"/>
      <c r="E307" s="1793"/>
      <c r="F307" s="215">
        <f>SUM(F299:F306)</f>
        <v>28980000</v>
      </c>
      <c r="G307" s="217" t="s">
        <v>1845</v>
      </c>
      <c r="K307" s="36">
        <f>F307</f>
        <v>28980000</v>
      </c>
    </row>
    <row r="308" spans="1:11" x14ac:dyDescent="0.25">
      <c r="A308" s="260"/>
      <c r="B308" s="260"/>
      <c r="C308" s="260"/>
      <c r="D308" s="260"/>
      <c r="E308" s="260"/>
      <c r="F308" s="261"/>
      <c r="G308" s="188"/>
    </row>
    <row r="309" spans="1:11" x14ac:dyDescent="0.25">
      <c r="A309" s="1762" t="s">
        <v>549</v>
      </c>
      <c r="B309" s="1762"/>
      <c r="C309" s="188" t="s">
        <v>27</v>
      </c>
      <c r="D309" s="1763" t="s">
        <v>1426</v>
      </c>
      <c r="E309" s="1763"/>
      <c r="F309" s="1763"/>
      <c r="G309" s="188"/>
    </row>
    <row r="310" spans="1:11" x14ac:dyDescent="0.25">
      <c r="A310" s="1762" t="s">
        <v>28</v>
      </c>
      <c r="B310" s="1762"/>
      <c r="C310" s="188"/>
      <c r="D310" s="1764" t="s">
        <v>2832</v>
      </c>
      <c r="E310" s="1764"/>
      <c r="F310" s="1764"/>
      <c r="G310" s="188"/>
      <c r="H310" s="36"/>
    </row>
    <row r="311" spans="1:11" x14ac:dyDescent="0.25">
      <c r="A311" s="186"/>
      <c r="B311" s="187"/>
      <c r="C311" s="188"/>
      <c r="D311" s="189"/>
      <c r="E311" s="218"/>
      <c r="F311" s="218"/>
      <c r="G311" s="188"/>
    </row>
    <row r="312" spans="1:11" x14ac:dyDescent="0.25">
      <c r="A312" s="186"/>
      <c r="B312" s="187"/>
      <c r="C312" s="188"/>
      <c r="D312" s="189"/>
      <c r="E312" s="218"/>
      <c r="F312" s="218"/>
      <c r="G312" s="188"/>
    </row>
    <row r="313" spans="1:11" x14ac:dyDescent="0.25">
      <c r="A313" s="1762"/>
      <c r="B313" s="1762"/>
      <c r="C313" s="188"/>
      <c r="D313" s="189"/>
      <c r="E313" s="1762"/>
      <c r="F313" s="1762"/>
      <c r="G313" s="188"/>
    </row>
    <row r="314" spans="1:11" x14ac:dyDescent="0.25">
      <c r="A314" s="1762" t="s">
        <v>29</v>
      </c>
      <c r="B314" s="1762"/>
      <c r="C314" s="188"/>
      <c r="D314" s="1762" t="s">
        <v>2989</v>
      </c>
      <c r="E314" s="1762"/>
      <c r="F314" s="1762"/>
      <c r="G314" s="188"/>
    </row>
    <row r="317" spans="1:11" x14ac:dyDescent="0.25">
      <c r="A317" s="1765" t="s">
        <v>0</v>
      </c>
      <c r="B317" s="1765"/>
      <c r="C317" s="1765"/>
      <c r="D317" s="1765"/>
      <c r="E317" s="1765"/>
      <c r="F317" s="1765"/>
      <c r="G317" s="185"/>
    </row>
    <row r="318" spans="1:11" x14ac:dyDescent="0.25">
      <c r="A318" s="1765" t="s">
        <v>1</v>
      </c>
      <c r="B318" s="1765"/>
      <c r="C318" s="1765"/>
      <c r="D318" s="1765"/>
      <c r="E318" s="1765"/>
      <c r="F318" s="1765"/>
      <c r="G318" s="185"/>
    </row>
    <row r="319" spans="1:11" x14ac:dyDescent="0.25">
      <c r="A319" s="1765" t="s">
        <v>1769</v>
      </c>
      <c r="B319" s="1765"/>
      <c r="C319" s="1765"/>
      <c r="D319" s="1765"/>
      <c r="E319" s="1765"/>
      <c r="F319" s="1765"/>
      <c r="G319" s="185"/>
    </row>
    <row r="320" spans="1:11" x14ac:dyDescent="0.25">
      <c r="A320" s="184"/>
      <c r="B320" s="184"/>
      <c r="C320" s="184"/>
      <c r="D320" s="184"/>
      <c r="E320" s="184"/>
      <c r="F320" s="184"/>
      <c r="G320" s="185"/>
    </row>
    <row r="321" spans="1:7" x14ac:dyDescent="0.25">
      <c r="A321" s="186" t="s">
        <v>246</v>
      </c>
      <c r="B321" s="254" t="s">
        <v>3</v>
      </c>
      <c r="C321" s="188"/>
      <c r="D321" s="189"/>
      <c r="E321" s="190"/>
      <c r="F321" s="191"/>
      <c r="G321" s="188"/>
    </row>
    <row r="322" spans="1:7" ht="36.75" x14ac:dyDescent="0.25">
      <c r="A322" s="220" t="s">
        <v>247</v>
      </c>
      <c r="B322" s="187" t="s">
        <v>5</v>
      </c>
      <c r="C322" s="188"/>
      <c r="D322" s="189"/>
      <c r="E322" s="227" t="s">
        <v>6</v>
      </c>
      <c r="F322" s="191"/>
      <c r="G322" s="188"/>
    </row>
    <row r="323" spans="1:7" x14ac:dyDescent="0.25">
      <c r="A323" s="192" t="s">
        <v>7</v>
      </c>
      <c r="B323" s="187" t="s">
        <v>248</v>
      </c>
      <c r="C323" s="188"/>
      <c r="D323" s="189"/>
      <c r="E323" s="195" t="s">
        <v>9</v>
      </c>
      <c r="F323" s="191"/>
      <c r="G323" s="188"/>
    </row>
    <row r="324" spans="1:7" x14ac:dyDescent="0.25">
      <c r="A324" s="221" t="s">
        <v>37</v>
      </c>
      <c r="B324" s="187" t="s">
        <v>260</v>
      </c>
      <c r="C324" s="188"/>
      <c r="D324" s="189"/>
      <c r="E324" s="190"/>
      <c r="F324" s="191"/>
      <c r="G324" s="188"/>
    </row>
    <row r="325" spans="1:7" x14ac:dyDescent="0.25">
      <c r="A325" s="192" t="s">
        <v>10</v>
      </c>
      <c r="B325" s="187"/>
      <c r="C325" s="188"/>
      <c r="D325" s="189"/>
      <c r="E325" s="190"/>
      <c r="F325" s="191"/>
      <c r="G325" s="188"/>
    </row>
    <row r="326" spans="1:7" x14ac:dyDescent="0.25">
      <c r="A326" s="192"/>
      <c r="B326" s="187"/>
      <c r="C326" s="188"/>
      <c r="D326" s="189"/>
      <c r="E326" s="190"/>
      <c r="F326" s="191"/>
      <c r="G326" s="188"/>
    </row>
    <row r="327" spans="1:7" ht="24" x14ac:dyDescent="0.25">
      <c r="A327" s="197" t="s">
        <v>30</v>
      </c>
      <c r="B327" s="198" t="s">
        <v>31</v>
      </c>
      <c r="C327" s="1773" t="s">
        <v>12</v>
      </c>
      <c r="D327" s="1774"/>
      <c r="E327" s="198" t="s">
        <v>32</v>
      </c>
      <c r="F327" s="199" t="s">
        <v>33</v>
      </c>
      <c r="G327" s="197" t="s">
        <v>34</v>
      </c>
    </row>
    <row r="328" spans="1:7" x14ac:dyDescent="0.25">
      <c r="A328" s="200">
        <v>1</v>
      </c>
      <c r="B328" s="200">
        <v>2</v>
      </c>
      <c r="C328" s="1789">
        <v>3</v>
      </c>
      <c r="D328" s="1789"/>
      <c r="E328" s="201">
        <v>4</v>
      </c>
      <c r="F328" s="202">
        <v>5</v>
      </c>
      <c r="G328" s="202">
        <v>6</v>
      </c>
    </row>
    <row r="329" spans="1:7" x14ac:dyDescent="0.25">
      <c r="A329" s="229" t="s">
        <v>249</v>
      </c>
      <c r="B329" s="213" t="s">
        <v>250</v>
      </c>
      <c r="C329" s="214"/>
      <c r="D329" s="206"/>
      <c r="E329" s="215"/>
      <c r="F329" s="215"/>
      <c r="G329" s="217"/>
    </row>
    <row r="330" spans="1:7" x14ac:dyDescent="0.25">
      <c r="A330" s="229" t="s">
        <v>251</v>
      </c>
      <c r="B330" s="213" t="s">
        <v>252</v>
      </c>
      <c r="C330" s="214"/>
      <c r="D330" s="206"/>
      <c r="E330" s="215"/>
      <c r="F330" s="215"/>
      <c r="G330" s="217"/>
    </row>
    <row r="331" spans="1:7" x14ac:dyDescent="0.25">
      <c r="A331" s="212" t="s">
        <v>253</v>
      </c>
      <c r="B331" s="213" t="s">
        <v>254</v>
      </c>
      <c r="C331" s="243"/>
      <c r="D331" s="206"/>
      <c r="E331" s="217"/>
      <c r="F331" s="217"/>
      <c r="G331" s="217"/>
    </row>
    <row r="332" spans="1:7" x14ac:dyDescent="0.25">
      <c r="A332" s="212"/>
      <c r="B332" s="213" t="s">
        <v>188</v>
      </c>
      <c r="C332" s="214">
        <v>12</v>
      </c>
      <c r="D332" s="206" t="s">
        <v>21</v>
      </c>
      <c r="E332" s="215">
        <v>4700000</v>
      </c>
      <c r="F332" s="215">
        <f>C332*E332</f>
        <v>56400000</v>
      </c>
      <c r="G332" s="217"/>
    </row>
    <row r="333" spans="1:7" x14ac:dyDescent="0.25">
      <c r="A333" s="212"/>
      <c r="B333" s="213" t="s">
        <v>2800</v>
      </c>
      <c r="C333" s="214">
        <v>1</v>
      </c>
      <c r="D333" s="206" t="s">
        <v>21</v>
      </c>
      <c r="E333" s="215">
        <v>4700000</v>
      </c>
      <c r="F333" s="215">
        <f t="shared" ref="F333:F347" si="8">C333*E333</f>
        <v>4700000</v>
      </c>
      <c r="G333" s="217"/>
    </row>
    <row r="334" spans="1:7" x14ac:dyDescent="0.25">
      <c r="A334" s="212"/>
      <c r="B334" s="213" t="s">
        <v>255</v>
      </c>
      <c r="C334" s="214">
        <v>1</v>
      </c>
      <c r="D334" s="206" t="s">
        <v>21</v>
      </c>
      <c r="E334" s="215">
        <v>4700000</v>
      </c>
      <c r="F334" s="215">
        <f t="shared" si="8"/>
        <v>4700000</v>
      </c>
      <c r="G334" s="217"/>
    </row>
    <row r="335" spans="1:7" x14ac:dyDescent="0.25">
      <c r="A335" s="212"/>
      <c r="B335" s="213"/>
      <c r="C335" s="214"/>
      <c r="D335" s="206"/>
      <c r="E335" s="215"/>
      <c r="F335" s="215"/>
      <c r="G335" s="217"/>
    </row>
    <row r="336" spans="1:7" x14ac:dyDescent="0.25">
      <c r="A336" s="212"/>
      <c r="B336" s="213" t="s">
        <v>256</v>
      </c>
      <c r="C336" s="214">
        <v>12</v>
      </c>
      <c r="D336" s="206" t="s">
        <v>21</v>
      </c>
      <c r="E336" s="215">
        <v>4300000</v>
      </c>
      <c r="F336" s="215">
        <f t="shared" si="8"/>
        <v>51600000</v>
      </c>
      <c r="G336" s="217"/>
    </row>
    <row r="337" spans="1:11" x14ac:dyDescent="0.25">
      <c r="A337" s="212"/>
      <c r="B337" s="213" t="s">
        <v>2799</v>
      </c>
      <c r="C337" s="214">
        <v>1</v>
      </c>
      <c r="D337" s="206" t="s">
        <v>21</v>
      </c>
      <c r="E337" s="215">
        <v>4300000</v>
      </c>
      <c r="F337" s="215">
        <f t="shared" si="8"/>
        <v>4300000</v>
      </c>
      <c r="G337" s="217"/>
    </row>
    <row r="338" spans="1:11" x14ac:dyDescent="0.25">
      <c r="A338" s="212"/>
      <c r="B338" s="213" t="s">
        <v>257</v>
      </c>
      <c r="C338" s="214">
        <v>1</v>
      </c>
      <c r="D338" s="206" t="s">
        <v>21</v>
      </c>
      <c r="E338" s="215">
        <v>4300000</v>
      </c>
      <c r="F338" s="215">
        <f t="shared" si="8"/>
        <v>4300000</v>
      </c>
      <c r="G338" s="217"/>
    </row>
    <row r="339" spans="1:11" x14ac:dyDescent="0.25">
      <c r="A339" s="212"/>
      <c r="B339" s="213"/>
      <c r="C339" s="214"/>
      <c r="D339" s="206"/>
      <c r="E339" s="215"/>
      <c r="F339" s="215"/>
      <c r="G339" s="217"/>
    </row>
    <row r="340" spans="1:11" x14ac:dyDescent="0.25">
      <c r="A340" s="212"/>
      <c r="B340" s="213" t="s">
        <v>189</v>
      </c>
      <c r="C340" s="214">
        <v>12</v>
      </c>
      <c r="D340" s="206" t="s">
        <v>21</v>
      </c>
      <c r="E340" s="215">
        <v>3900000</v>
      </c>
      <c r="F340" s="215">
        <f t="shared" si="8"/>
        <v>46800000</v>
      </c>
      <c r="G340" s="217"/>
    </row>
    <row r="341" spans="1:11" x14ac:dyDescent="0.25">
      <c r="A341" s="212"/>
      <c r="B341" s="213" t="s">
        <v>2798</v>
      </c>
      <c r="C341" s="214">
        <v>1</v>
      </c>
      <c r="D341" s="206" t="s">
        <v>21</v>
      </c>
      <c r="E341" s="215">
        <v>3900000</v>
      </c>
      <c r="F341" s="215">
        <f t="shared" si="8"/>
        <v>3900000</v>
      </c>
      <c r="G341" s="217"/>
    </row>
    <row r="342" spans="1:11" x14ac:dyDescent="0.25">
      <c r="A342" s="212"/>
      <c r="B342" s="213" t="s">
        <v>258</v>
      </c>
      <c r="C342" s="214">
        <v>1</v>
      </c>
      <c r="D342" s="206" t="s">
        <v>21</v>
      </c>
      <c r="E342" s="215">
        <v>3900000</v>
      </c>
      <c r="F342" s="215">
        <f t="shared" si="8"/>
        <v>3900000</v>
      </c>
      <c r="G342" s="217"/>
    </row>
    <row r="343" spans="1:11" x14ac:dyDescent="0.25">
      <c r="A343" s="212"/>
      <c r="B343" s="213"/>
      <c r="C343" s="214"/>
      <c r="D343" s="206"/>
      <c r="E343" s="215"/>
      <c r="F343" s="215"/>
      <c r="G343" s="217"/>
    </row>
    <row r="344" spans="1:11" x14ac:dyDescent="0.25">
      <c r="A344" s="212"/>
      <c r="B344" s="213" t="s">
        <v>352</v>
      </c>
      <c r="C344" s="214"/>
      <c r="D344" s="206"/>
      <c r="E344" s="215"/>
      <c r="F344" s="215"/>
      <c r="G344" s="217"/>
    </row>
    <row r="345" spans="1:11" x14ac:dyDescent="0.25">
      <c r="A345" s="212"/>
      <c r="B345" s="213" t="s">
        <v>2589</v>
      </c>
      <c r="C345" s="214">
        <v>72</v>
      </c>
      <c r="D345" s="206" t="s">
        <v>21</v>
      </c>
      <c r="E345" s="215">
        <v>3300000</v>
      </c>
      <c r="F345" s="215">
        <f t="shared" si="8"/>
        <v>237600000</v>
      </c>
      <c r="G345" s="217"/>
    </row>
    <row r="346" spans="1:11" x14ac:dyDescent="0.25">
      <c r="A346" s="212"/>
      <c r="B346" s="213" t="s">
        <v>2797</v>
      </c>
      <c r="C346" s="214">
        <v>6</v>
      </c>
      <c r="D346" s="206" t="s">
        <v>21</v>
      </c>
      <c r="E346" s="215">
        <v>3300000</v>
      </c>
      <c r="F346" s="215">
        <f t="shared" si="8"/>
        <v>19800000</v>
      </c>
      <c r="G346" s="217"/>
    </row>
    <row r="347" spans="1:11" x14ac:dyDescent="0.25">
      <c r="A347" s="212"/>
      <c r="B347" s="213" t="s">
        <v>259</v>
      </c>
      <c r="C347" s="214">
        <v>6</v>
      </c>
      <c r="D347" s="206" t="s">
        <v>21</v>
      </c>
      <c r="E347" s="215">
        <v>3300000</v>
      </c>
      <c r="F347" s="215">
        <f t="shared" si="8"/>
        <v>19800000</v>
      </c>
      <c r="G347" s="217"/>
    </row>
    <row r="348" spans="1:11" x14ac:dyDescent="0.25">
      <c r="A348" s="212"/>
      <c r="B348" s="213"/>
      <c r="C348" s="214"/>
      <c r="D348" s="206"/>
      <c r="E348" s="215"/>
      <c r="F348" s="215"/>
      <c r="G348" s="217"/>
    </row>
    <row r="349" spans="1:11" x14ac:dyDescent="0.25">
      <c r="A349" s="1823" t="s">
        <v>26</v>
      </c>
      <c r="B349" s="1794"/>
      <c r="C349" s="1794"/>
      <c r="D349" s="1794"/>
      <c r="E349" s="1795"/>
      <c r="F349" s="215">
        <f>SUM(F332:F348)</f>
        <v>457800000</v>
      </c>
      <c r="G349" s="217" t="s">
        <v>1845</v>
      </c>
      <c r="K349" s="36">
        <f>F349</f>
        <v>457800000</v>
      </c>
    </row>
    <row r="350" spans="1:11" x14ac:dyDescent="0.25">
      <c r="A350" s="1762" t="s">
        <v>549</v>
      </c>
      <c r="B350" s="1762"/>
      <c r="C350" s="188" t="s">
        <v>27</v>
      </c>
      <c r="D350" s="1763" t="s">
        <v>1426</v>
      </c>
      <c r="E350" s="1763"/>
      <c r="F350" s="1763"/>
      <c r="G350" s="188"/>
    </row>
    <row r="351" spans="1:11" x14ac:dyDescent="0.25">
      <c r="A351" s="1762" t="s">
        <v>28</v>
      </c>
      <c r="B351" s="1762"/>
      <c r="C351" s="188"/>
      <c r="D351" s="1764" t="s">
        <v>2832</v>
      </c>
      <c r="E351" s="1764"/>
      <c r="F351" s="1764"/>
      <c r="G351" s="188"/>
      <c r="H351" s="36"/>
    </row>
    <row r="352" spans="1:11" x14ac:dyDescent="0.25">
      <c r="A352" s="186"/>
      <c r="B352" s="187"/>
      <c r="C352" s="188"/>
      <c r="D352" s="189"/>
      <c r="E352" s="218"/>
      <c r="F352" s="218"/>
      <c r="G352" s="188"/>
    </row>
    <row r="353" spans="1:7" x14ac:dyDescent="0.25">
      <c r="A353" s="186"/>
      <c r="B353" s="187"/>
      <c r="C353" s="188"/>
      <c r="D353" s="189"/>
      <c r="E353" s="218"/>
      <c r="F353" s="218"/>
      <c r="G353" s="188"/>
    </row>
    <row r="354" spans="1:7" x14ac:dyDescent="0.25">
      <c r="A354" s="1762"/>
      <c r="B354" s="1762"/>
      <c r="C354" s="188"/>
      <c r="D354" s="189"/>
      <c r="E354" s="1762"/>
      <c r="F354" s="1762"/>
      <c r="G354" s="188"/>
    </row>
    <row r="355" spans="1:7" x14ac:dyDescent="0.25">
      <c r="A355" s="1762" t="s">
        <v>29</v>
      </c>
      <c r="B355" s="1762"/>
      <c r="C355" s="188"/>
      <c r="D355" s="1762" t="s">
        <v>2989</v>
      </c>
      <c r="E355" s="1762"/>
      <c r="F355" s="1762"/>
      <c r="G355" s="188"/>
    </row>
    <row r="359" spans="1:7" x14ac:dyDescent="0.25">
      <c r="A359" s="1837" t="s">
        <v>0</v>
      </c>
      <c r="B359" s="1837"/>
      <c r="C359" s="1837"/>
      <c r="D359" s="1837"/>
      <c r="E359" s="1837"/>
      <c r="F359" s="1837"/>
      <c r="G359" s="1837"/>
    </row>
    <row r="360" spans="1:7" x14ac:dyDescent="0.25">
      <c r="A360" s="1837" t="s">
        <v>1</v>
      </c>
      <c r="B360" s="1837"/>
      <c r="C360" s="1837"/>
      <c r="D360" s="1837"/>
      <c r="E360" s="1837"/>
      <c r="F360" s="1837"/>
      <c r="G360" s="1837"/>
    </row>
    <row r="361" spans="1:7" x14ac:dyDescent="0.25">
      <c r="A361" s="1765" t="s">
        <v>1769</v>
      </c>
      <c r="B361" s="1765"/>
      <c r="C361" s="1765"/>
      <c r="D361" s="1765"/>
      <c r="E361" s="1765"/>
      <c r="F361" s="1765"/>
      <c r="G361" s="1765"/>
    </row>
    <row r="362" spans="1:7" x14ac:dyDescent="0.25">
      <c r="A362" s="262"/>
      <c r="B362" s="262"/>
      <c r="C362" s="262"/>
      <c r="D362" s="262"/>
      <c r="E362" s="262"/>
      <c r="F362" s="262"/>
      <c r="G362" s="262"/>
    </row>
    <row r="363" spans="1:7" x14ac:dyDescent="0.25">
      <c r="A363" s="263" t="s">
        <v>261</v>
      </c>
      <c r="B363" s="225" t="s">
        <v>3</v>
      </c>
      <c r="C363" s="263"/>
      <c r="D363" s="263"/>
      <c r="E363" s="227" t="s">
        <v>6</v>
      </c>
      <c r="F363" s="191"/>
      <c r="G363" s="264"/>
    </row>
    <row r="364" spans="1:7" ht="51" x14ac:dyDescent="0.25">
      <c r="A364" s="263" t="s">
        <v>262</v>
      </c>
      <c r="B364" s="225" t="s">
        <v>5</v>
      </c>
      <c r="C364" s="263"/>
      <c r="D364" s="263"/>
      <c r="E364" s="195" t="s">
        <v>9</v>
      </c>
      <c r="F364" s="196"/>
      <c r="G364" s="264"/>
    </row>
    <row r="365" spans="1:7" x14ac:dyDescent="0.25">
      <c r="A365" s="265" t="s">
        <v>263</v>
      </c>
      <c r="B365" s="265" t="s">
        <v>264</v>
      </c>
      <c r="C365" s="265"/>
      <c r="D365" s="265"/>
      <c r="E365" s="265"/>
      <c r="F365" s="265"/>
      <c r="G365" s="264"/>
    </row>
    <row r="366" spans="1:7" x14ac:dyDescent="0.25">
      <c r="A366" s="266" t="s">
        <v>60</v>
      </c>
      <c r="B366" s="226" t="s">
        <v>61</v>
      </c>
      <c r="C366" s="226"/>
      <c r="D366" s="188"/>
      <c r="E366" s="188"/>
      <c r="F366" s="188"/>
    </row>
    <row r="367" spans="1:7" x14ac:dyDescent="0.25">
      <c r="A367" s="226" t="s">
        <v>62</v>
      </c>
      <c r="B367" s="226"/>
      <c r="C367" s="226"/>
      <c r="D367" s="1763"/>
      <c r="E367" s="1763"/>
      <c r="F367" s="188"/>
    </row>
    <row r="368" spans="1:7" x14ac:dyDescent="0.25">
      <c r="A368" s="187"/>
      <c r="B368" s="187"/>
      <c r="C368" s="187"/>
      <c r="D368" s="187"/>
      <c r="E368" s="187"/>
      <c r="F368" s="187"/>
    </row>
    <row r="369" spans="1:7" ht="24" x14ac:dyDescent="0.25">
      <c r="A369" s="198" t="s">
        <v>265</v>
      </c>
      <c r="B369" s="198" t="s">
        <v>11</v>
      </c>
      <c r="C369" s="1766" t="s">
        <v>12</v>
      </c>
      <c r="D369" s="1766"/>
      <c r="E369" s="267" t="s">
        <v>13</v>
      </c>
      <c r="F369" s="268" t="s">
        <v>14</v>
      </c>
      <c r="G369" s="34" t="s">
        <v>266</v>
      </c>
    </row>
    <row r="370" spans="1:7" x14ac:dyDescent="0.25">
      <c r="A370" s="198">
        <v>1</v>
      </c>
      <c r="B370" s="198">
        <v>2</v>
      </c>
      <c r="C370" s="1767">
        <v>3</v>
      </c>
      <c r="D370" s="1768"/>
      <c r="E370" s="269">
        <v>4</v>
      </c>
      <c r="F370" s="268">
        <v>5</v>
      </c>
      <c r="G370" s="35">
        <v>6</v>
      </c>
    </row>
    <row r="371" spans="1:7" x14ac:dyDescent="0.25">
      <c r="A371" s="203" t="s">
        <v>267</v>
      </c>
      <c r="B371" s="270" t="s">
        <v>84</v>
      </c>
      <c r="C371" s="271"/>
      <c r="D371" s="272"/>
      <c r="E371" s="273"/>
      <c r="F371" s="274"/>
      <c r="G371" s="275"/>
    </row>
    <row r="372" spans="1:7" x14ac:dyDescent="0.25">
      <c r="A372" s="203" t="s">
        <v>268</v>
      </c>
      <c r="B372" s="270" t="s">
        <v>86</v>
      </c>
      <c r="C372" s="271"/>
      <c r="D372" s="272"/>
      <c r="E372" s="273"/>
      <c r="F372" s="274"/>
      <c r="G372" s="275"/>
    </row>
    <row r="373" spans="1:7" ht="26.25" x14ac:dyDescent="0.25">
      <c r="A373" s="203" t="s">
        <v>269</v>
      </c>
      <c r="B373" s="276" t="s">
        <v>270</v>
      </c>
      <c r="C373" s="277"/>
      <c r="D373" s="278"/>
      <c r="E373" s="279"/>
      <c r="F373" s="280"/>
      <c r="G373" s="275"/>
    </row>
    <row r="374" spans="1:7" x14ac:dyDescent="0.25">
      <c r="A374" s="281"/>
      <c r="B374" s="281" t="s">
        <v>271</v>
      </c>
      <c r="C374" s="282">
        <v>180</v>
      </c>
      <c r="D374" s="278" t="s">
        <v>272</v>
      </c>
      <c r="E374" s="279">
        <v>5300</v>
      </c>
      <c r="F374" s="280">
        <f>C374*E374</f>
        <v>954000</v>
      </c>
      <c r="G374" s="275"/>
    </row>
    <row r="375" spans="1:7" x14ac:dyDescent="0.25">
      <c r="A375" s="281"/>
      <c r="B375" s="281" t="s">
        <v>2779</v>
      </c>
      <c r="C375" s="282">
        <v>5</v>
      </c>
      <c r="D375" s="278" t="s">
        <v>89</v>
      </c>
      <c r="E375" s="279">
        <v>70000</v>
      </c>
      <c r="F375" s="280">
        <f>C375*E375</f>
        <v>350000</v>
      </c>
      <c r="G375" s="275"/>
    </row>
    <row r="376" spans="1:7" x14ac:dyDescent="0.25">
      <c r="A376" s="281"/>
      <c r="B376" s="281" t="s">
        <v>273</v>
      </c>
      <c r="C376" s="282">
        <v>15</v>
      </c>
      <c r="D376" s="278" t="s">
        <v>110</v>
      </c>
      <c r="E376" s="279">
        <v>100000</v>
      </c>
      <c r="F376" s="280">
        <f>E376*C376</f>
        <v>1500000</v>
      </c>
      <c r="G376" s="275"/>
    </row>
    <row r="377" spans="1:7" x14ac:dyDescent="0.25">
      <c r="A377" s="203"/>
      <c r="B377" s="204" t="s">
        <v>274</v>
      </c>
      <c r="C377" s="205">
        <v>10</v>
      </c>
      <c r="D377" s="283" t="s">
        <v>95</v>
      </c>
      <c r="E377" s="259">
        <v>50000</v>
      </c>
      <c r="F377" s="239">
        <f>E377*C377</f>
        <v>500000</v>
      </c>
      <c r="G377" s="207"/>
    </row>
    <row r="378" spans="1:7" x14ac:dyDescent="0.25">
      <c r="A378" s="281"/>
      <c r="B378" s="281" t="s">
        <v>275</v>
      </c>
      <c r="C378" s="282">
        <v>4000</v>
      </c>
      <c r="D378" s="278" t="s">
        <v>276</v>
      </c>
      <c r="E378" s="279">
        <v>250</v>
      </c>
      <c r="F378" s="280">
        <f>E378*C378</f>
        <v>1000000</v>
      </c>
      <c r="G378" s="275"/>
    </row>
    <row r="379" spans="1:7" x14ac:dyDescent="0.25">
      <c r="A379" s="284"/>
      <c r="B379" s="285"/>
      <c r="C379" s="282"/>
      <c r="D379" s="278"/>
      <c r="E379" s="279"/>
      <c r="F379" s="280"/>
      <c r="G379" s="275"/>
    </row>
    <row r="380" spans="1:7" ht="39" x14ac:dyDescent="0.25">
      <c r="A380" s="203" t="s">
        <v>277</v>
      </c>
      <c r="B380" s="286" t="s">
        <v>151</v>
      </c>
      <c r="C380" s="282"/>
      <c r="D380" s="278"/>
      <c r="E380" s="279"/>
      <c r="F380" s="280"/>
      <c r="G380" s="275"/>
    </row>
    <row r="381" spans="1:7" ht="26.25" x14ac:dyDescent="0.25">
      <c r="A381" s="281"/>
      <c r="B381" s="276" t="s">
        <v>278</v>
      </c>
      <c r="C381" s="282">
        <v>240</v>
      </c>
      <c r="D381" s="272" t="s">
        <v>279</v>
      </c>
      <c r="E381" s="279">
        <v>15000</v>
      </c>
      <c r="F381" s="287">
        <f>E381*C381</f>
        <v>3600000</v>
      </c>
      <c r="G381" s="275"/>
    </row>
    <row r="382" spans="1:7" x14ac:dyDescent="0.25">
      <c r="A382" s="281"/>
      <c r="B382" s="276" t="s">
        <v>280</v>
      </c>
      <c r="C382" s="282">
        <v>36</v>
      </c>
      <c r="D382" s="272" t="s">
        <v>279</v>
      </c>
      <c r="E382" s="279">
        <v>15000</v>
      </c>
      <c r="F382" s="287">
        <f>E382*C382</f>
        <v>540000</v>
      </c>
      <c r="G382" s="275"/>
    </row>
    <row r="383" spans="1:7" x14ac:dyDescent="0.25">
      <c r="A383" s="281"/>
      <c r="B383" s="285"/>
      <c r="C383" s="282"/>
      <c r="D383" s="278"/>
      <c r="E383" s="279"/>
      <c r="F383" s="280"/>
      <c r="G383" s="275"/>
    </row>
    <row r="384" spans="1:7" ht="26.25" x14ac:dyDescent="0.25">
      <c r="A384" s="203" t="s">
        <v>281</v>
      </c>
      <c r="B384" s="276" t="s">
        <v>174</v>
      </c>
      <c r="C384" s="282"/>
      <c r="D384" s="278"/>
      <c r="E384" s="279"/>
      <c r="F384" s="280"/>
      <c r="G384" s="275"/>
    </row>
    <row r="385" spans="1:11" x14ac:dyDescent="0.25">
      <c r="A385" s="281"/>
      <c r="B385" s="281" t="s">
        <v>2801</v>
      </c>
      <c r="C385" s="282">
        <v>9</v>
      </c>
      <c r="D385" s="278" t="s">
        <v>2744</v>
      </c>
      <c r="E385" s="279">
        <v>750000</v>
      </c>
      <c r="F385" s="280">
        <f>E385*C385</f>
        <v>6750000</v>
      </c>
      <c r="G385" s="275"/>
      <c r="H385" t="s">
        <v>2743</v>
      </c>
    </row>
    <row r="386" spans="1:11" x14ac:dyDescent="0.25">
      <c r="A386" s="281"/>
      <c r="B386" s="270"/>
      <c r="C386" s="271"/>
      <c r="D386" s="272"/>
      <c r="E386" s="288"/>
      <c r="F386" s="289"/>
      <c r="G386" s="275"/>
    </row>
    <row r="387" spans="1:11" x14ac:dyDescent="0.25">
      <c r="A387" s="203" t="s">
        <v>282</v>
      </c>
      <c r="B387" s="270" t="s">
        <v>283</v>
      </c>
      <c r="C387" s="271"/>
      <c r="D387" s="272"/>
      <c r="E387" s="288"/>
      <c r="F387" s="289"/>
      <c r="G387" s="275"/>
    </row>
    <row r="388" spans="1:11" x14ac:dyDescent="0.25">
      <c r="A388" s="281"/>
      <c r="B388" s="270" t="s">
        <v>284</v>
      </c>
      <c r="C388" s="271">
        <v>12</v>
      </c>
      <c r="D388" s="272" t="s">
        <v>165</v>
      </c>
      <c r="E388" s="288">
        <v>50000</v>
      </c>
      <c r="F388" s="289">
        <f>E388*C388</f>
        <v>600000</v>
      </c>
      <c r="G388" s="275"/>
    </row>
    <row r="389" spans="1:11" x14ac:dyDescent="0.25">
      <c r="A389" s="281"/>
      <c r="B389" s="290" t="s">
        <v>285</v>
      </c>
      <c r="C389" s="291">
        <v>12</v>
      </c>
      <c r="D389" s="272" t="s">
        <v>165</v>
      </c>
      <c r="E389" s="292">
        <v>15000</v>
      </c>
      <c r="F389" s="293">
        <f>E389*C389</f>
        <v>180000</v>
      </c>
      <c r="G389" s="275"/>
    </row>
    <row r="390" spans="1:11" x14ac:dyDescent="0.25">
      <c r="A390" s="281"/>
      <c r="B390" s="1836" t="s">
        <v>26</v>
      </c>
      <c r="C390" s="1836"/>
      <c r="D390" s="1836"/>
      <c r="E390" s="1836"/>
      <c r="F390" s="287">
        <f>SUM(F374:F389)</f>
        <v>15974000</v>
      </c>
      <c r="G390" s="294" t="s">
        <v>1845</v>
      </c>
      <c r="J390" s="32"/>
      <c r="K390" s="32">
        <f>F390</f>
        <v>15974000</v>
      </c>
    </row>
    <row r="391" spans="1:11" x14ac:dyDescent="0.25">
      <c r="A391" s="1762" t="s">
        <v>549</v>
      </c>
      <c r="B391" s="1762"/>
      <c r="C391" s="188" t="s">
        <v>27</v>
      </c>
      <c r="D391" s="1763" t="s">
        <v>1426</v>
      </c>
      <c r="E391" s="1763"/>
      <c r="F391" s="1763"/>
      <c r="G391" s="188"/>
    </row>
    <row r="392" spans="1:11" x14ac:dyDescent="0.25">
      <c r="A392" s="1762" t="s">
        <v>28</v>
      </c>
      <c r="B392" s="1762"/>
      <c r="C392" s="188"/>
      <c r="D392" s="1764" t="s">
        <v>2832</v>
      </c>
      <c r="E392" s="1764"/>
      <c r="F392" s="1764"/>
      <c r="G392" s="188"/>
      <c r="H392" s="36"/>
    </row>
    <row r="393" spans="1:11" x14ac:dyDescent="0.25">
      <c r="A393" s="186"/>
      <c r="B393" s="187"/>
      <c r="C393" s="188"/>
      <c r="D393" s="189"/>
      <c r="E393" s="218"/>
      <c r="F393" s="218"/>
      <c r="G393" s="188"/>
    </row>
    <row r="394" spans="1:11" x14ac:dyDescent="0.25">
      <c r="A394" s="186"/>
      <c r="B394" s="187"/>
      <c r="C394" s="188"/>
      <c r="D394" s="189"/>
      <c r="E394" s="218"/>
      <c r="F394" s="218"/>
      <c r="G394" s="188"/>
    </row>
    <row r="395" spans="1:11" x14ac:dyDescent="0.25">
      <c r="A395" s="1762"/>
      <c r="B395" s="1762"/>
      <c r="C395" s="188"/>
      <c r="D395" s="189"/>
      <c r="E395" s="1762"/>
      <c r="F395" s="1762"/>
      <c r="G395" s="188"/>
    </row>
    <row r="396" spans="1:11" x14ac:dyDescent="0.25">
      <c r="A396" s="1762" t="s">
        <v>29</v>
      </c>
      <c r="B396" s="1762"/>
      <c r="C396" s="188"/>
      <c r="D396" s="1762" t="s">
        <v>2989</v>
      </c>
      <c r="E396" s="1762"/>
      <c r="F396" s="1762"/>
      <c r="G396" s="188"/>
    </row>
    <row r="400" spans="1:11" x14ac:dyDescent="0.25">
      <c r="A400" s="1765" t="s">
        <v>0</v>
      </c>
      <c r="B400" s="1765"/>
      <c r="C400" s="1765"/>
      <c r="D400" s="1765"/>
      <c r="E400" s="1765"/>
      <c r="F400" s="1765"/>
      <c r="G400" s="185"/>
    </row>
    <row r="401" spans="1:7" x14ac:dyDescent="0.25">
      <c r="A401" s="1765" t="s">
        <v>1</v>
      </c>
      <c r="B401" s="1765"/>
      <c r="C401" s="1765"/>
      <c r="D401" s="1765"/>
      <c r="E401" s="1765"/>
      <c r="F401" s="1765"/>
      <c r="G401" s="185"/>
    </row>
    <row r="402" spans="1:7" x14ac:dyDescent="0.25">
      <c r="A402" s="1765" t="s">
        <v>1769</v>
      </c>
      <c r="B402" s="1765"/>
      <c r="C402" s="1765"/>
      <c r="D402" s="1765"/>
      <c r="E402" s="1765"/>
      <c r="F402" s="1765"/>
      <c r="G402" s="185"/>
    </row>
    <row r="403" spans="1:7" x14ac:dyDescent="0.25">
      <c r="A403" s="184"/>
      <c r="B403" s="184"/>
      <c r="C403" s="188"/>
      <c r="D403" s="189"/>
      <c r="E403" s="190"/>
      <c r="F403" s="191"/>
      <c r="G403" s="188"/>
    </row>
    <row r="404" spans="1:7" x14ac:dyDescent="0.25">
      <c r="A404" s="186" t="s">
        <v>246</v>
      </c>
      <c r="B404" s="232" t="s">
        <v>3</v>
      </c>
      <c r="C404" s="232"/>
      <c r="D404" s="232"/>
      <c r="E404" s="227" t="s">
        <v>6</v>
      </c>
      <c r="F404" s="191"/>
      <c r="G404" s="188"/>
    </row>
    <row r="405" spans="1:7" ht="36" x14ac:dyDescent="0.25">
      <c r="A405" s="192" t="s">
        <v>247</v>
      </c>
      <c r="B405" s="232" t="s">
        <v>5</v>
      </c>
      <c r="C405" s="232"/>
      <c r="D405" s="232"/>
      <c r="E405" s="195" t="s">
        <v>9</v>
      </c>
      <c r="F405" s="196"/>
      <c r="G405" s="188"/>
    </row>
    <row r="406" spans="1:7" ht="24" x14ac:dyDescent="0.25">
      <c r="A406" s="192" t="s">
        <v>7</v>
      </c>
      <c r="B406" s="232" t="s">
        <v>286</v>
      </c>
      <c r="C406" s="232"/>
      <c r="D406" s="232"/>
      <c r="E406" s="190"/>
      <c r="F406" s="191"/>
      <c r="G406" s="188"/>
    </row>
    <row r="407" spans="1:7" x14ac:dyDescent="0.25">
      <c r="A407" s="226" t="s">
        <v>60</v>
      </c>
      <c r="B407" s="226" t="s">
        <v>61</v>
      </c>
      <c r="C407" s="226"/>
      <c r="D407" s="188"/>
      <c r="E407" s="188"/>
      <c r="F407" s="188"/>
    </row>
    <row r="408" spans="1:7" x14ac:dyDescent="0.25">
      <c r="A408" s="226" t="s">
        <v>62</v>
      </c>
      <c r="B408" s="226" t="s">
        <v>63</v>
      </c>
      <c r="C408" s="226"/>
      <c r="D408" s="1763"/>
      <c r="E408" s="1763"/>
      <c r="F408" s="188"/>
    </row>
    <row r="409" spans="1:7" x14ac:dyDescent="0.25">
      <c r="A409" s="187"/>
      <c r="B409" s="187"/>
      <c r="C409" s="187"/>
      <c r="D409" s="187"/>
      <c r="E409" s="187"/>
      <c r="F409" s="187"/>
    </row>
    <row r="410" spans="1:7" ht="24" x14ac:dyDescent="0.25">
      <c r="A410" s="198" t="s">
        <v>265</v>
      </c>
      <c r="B410" s="198" t="s">
        <v>11</v>
      </c>
      <c r="C410" s="1766" t="s">
        <v>12</v>
      </c>
      <c r="D410" s="1766"/>
      <c r="E410" s="267" t="s">
        <v>13</v>
      </c>
      <c r="F410" s="268" t="s">
        <v>14</v>
      </c>
      <c r="G410" s="34" t="s">
        <v>266</v>
      </c>
    </row>
    <row r="411" spans="1:7" x14ac:dyDescent="0.25">
      <c r="A411" s="198">
        <v>1</v>
      </c>
      <c r="B411" s="198">
        <v>2</v>
      </c>
      <c r="C411" s="1767">
        <v>3</v>
      </c>
      <c r="D411" s="1768"/>
      <c r="E411" s="269">
        <v>4</v>
      </c>
      <c r="F411" s="268">
        <v>5</v>
      </c>
      <c r="G411" s="35">
        <v>6</v>
      </c>
    </row>
    <row r="412" spans="1:7" x14ac:dyDescent="0.25">
      <c r="A412" s="203" t="s">
        <v>267</v>
      </c>
      <c r="B412" s="204" t="s">
        <v>287</v>
      </c>
      <c r="C412" s="268"/>
      <c r="D412" s="295"/>
      <c r="E412" s="269"/>
      <c r="F412" s="268"/>
      <c r="G412" s="296"/>
    </row>
    <row r="413" spans="1:7" x14ac:dyDescent="0.25">
      <c r="A413" s="203" t="s">
        <v>268</v>
      </c>
      <c r="B413" s="204" t="s">
        <v>86</v>
      </c>
      <c r="C413" s="205"/>
      <c r="D413" s="206"/>
      <c r="E413" s="197"/>
      <c r="F413" s="199"/>
      <c r="G413" s="207"/>
    </row>
    <row r="414" spans="1:7" ht="24" x14ac:dyDescent="0.25">
      <c r="A414" s="203" t="s">
        <v>289</v>
      </c>
      <c r="B414" s="204" t="s">
        <v>290</v>
      </c>
      <c r="C414" s="205"/>
      <c r="D414" s="283"/>
      <c r="E414" s="259"/>
      <c r="F414" s="239"/>
      <c r="G414" s="207"/>
    </row>
    <row r="415" spans="1:7" x14ac:dyDescent="0.25">
      <c r="A415" s="203"/>
      <c r="B415" s="204" t="s">
        <v>291</v>
      </c>
      <c r="C415" s="205">
        <v>20000</v>
      </c>
      <c r="D415" s="283" t="s">
        <v>276</v>
      </c>
      <c r="E415" s="259">
        <v>250</v>
      </c>
      <c r="F415" s="239">
        <f>E415*C415</f>
        <v>5000000</v>
      </c>
      <c r="G415" s="217"/>
    </row>
    <row r="416" spans="1:7" x14ac:dyDescent="0.25">
      <c r="A416" s="203"/>
      <c r="B416" s="204" t="s">
        <v>292</v>
      </c>
      <c r="C416" s="205">
        <v>8</v>
      </c>
      <c r="D416" s="283" t="s">
        <v>110</v>
      </c>
      <c r="E416" s="259">
        <v>90000</v>
      </c>
      <c r="F416" s="239">
        <f>E416*C416</f>
        <v>720000</v>
      </c>
      <c r="G416" s="217"/>
    </row>
    <row r="417" spans="1:11" x14ac:dyDescent="0.25">
      <c r="A417" s="203"/>
      <c r="B417" s="204"/>
      <c r="C417" s="205"/>
      <c r="D417" s="283"/>
      <c r="E417" s="259"/>
      <c r="F417" s="239"/>
      <c r="G417" s="258"/>
    </row>
    <row r="418" spans="1:11" ht="36" x14ac:dyDescent="0.25">
      <c r="A418" s="203" t="s">
        <v>277</v>
      </c>
      <c r="B418" s="204" t="s">
        <v>293</v>
      </c>
      <c r="C418" s="205"/>
      <c r="D418" s="283"/>
      <c r="E418" s="259"/>
      <c r="F418" s="239"/>
      <c r="G418" s="207"/>
    </row>
    <row r="419" spans="1:11" x14ac:dyDescent="0.25">
      <c r="A419" s="203"/>
      <c r="B419" s="204" t="s">
        <v>294</v>
      </c>
      <c r="C419" s="205">
        <f>50*8</f>
        <v>400</v>
      </c>
      <c r="D419" s="283" t="s">
        <v>279</v>
      </c>
      <c r="E419" s="259">
        <v>15000</v>
      </c>
      <c r="F419" s="239">
        <f>E419*C419</f>
        <v>6000000</v>
      </c>
      <c r="G419" s="217"/>
    </row>
    <row r="420" spans="1:11" x14ac:dyDescent="0.25">
      <c r="A420" s="203"/>
      <c r="B420" s="204"/>
      <c r="C420" s="205"/>
      <c r="D420" s="283"/>
      <c r="E420" s="259"/>
      <c r="F420" s="239"/>
      <c r="G420" s="258"/>
    </row>
    <row r="421" spans="1:11" x14ac:dyDescent="0.25">
      <c r="A421" s="203" t="s">
        <v>282</v>
      </c>
      <c r="B421" s="204" t="s">
        <v>295</v>
      </c>
      <c r="C421" s="205"/>
      <c r="D421" s="283"/>
      <c r="E421" s="259"/>
      <c r="F421" s="239"/>
      <c r="G421" s="207"/>
    </row>
    <row r="422" spans="1:11" x14ac:dyDescent="0.25">
      <c r="A422" s="203"/>
      <c r="B422" s="204" t="s">
        <v>296</v>
      </c>
      <c r="C422" s="205">
        <v>8</v>
      </c>
      <c r="D422" s="283" t="s">
        <v>297</v>
      </c>
      <c r="E422" s="259">
        <v>50000</v>
      </c>
      <c r="F422" s="239">
        <f>E422*C422</f>
        <v>400000</v>
      </c>
      <c r="G422" s="217"/>
    </row>
    <row r="423" spans="1:11" x14ac:dyDescent="0.25">
      <c r="A423" s="203"/>
      <c r="B423" s="204" t="s">
        <v>298</v>
      </c>
      <c r="C423" s="205">
        <f>4*8</f>
        <v>32</v>
      </c>
      <c r="D423" s="283" t="s">
        <v>165</v>
      </c>
      <c r="E423" s="259">
        <v>5000</v>
      </c>
      <c r="F423" s="239">
        <f>E423*C423</f>
        <v>160000</v>
      </c>
      <c r="G423" s="217"/>
    </row>
    <row r="424" spans="1:11" x14ac:dyDescent="0.25">
      <c r="A424" s="203"/>
      <c r="B424" s="204" t="s">
        <v>285</v>
      </c>
      <c r="C424" s="205">
        <f>5*8</f>
        <v>40</v>
      </c>
      <c r="D424" s="283" t="s">
        <v>165</v>
      </c>
      <c r="E424" s="259">
        <v>1000</v>
      </c>
      <c r="F424" s="239">
        <f>E424*C424</f>
        <v>40000</v>
      </c>
      <c r="G424" s="217"/>
    </row>
    <row r="425" spans="1:11" x14ac:dyDescent="0.25">
      <c r="A425" s="203"/>
      <c r="B425" s="204" t="s">
        <v>299</v>
      </c>
      <c r="C425" s="205">
        <v>8</v>
      </c>
      <c r="D425" s="283" t="s">
        <v>300</v>
      </c>
      <c r="E425" s="259">
        <v>10000</v>
      </c>
      <c r="F425" s="239">
        <f>E425*C425</f>
        <v>80000</v>
      </c>
      <c r="G425" s="217"/>
    </row>
    <row r="426" spans="1:11" x14ac:dyDescent="0.25">
      <c r="A426" s="203"/>
      <c r="B426" s="204"/>
      <c r="C426" s="205"/>
      <c r="D426" s="206"/>
      <c r="E426" s="259"/>
      <c r="F426" s="239"/>
      <c r="G426" s="217"/>
    </row>
    <row r="427" spans="1:11" x14ac:dyDescent="0.25">
      <c r="A427" s="229"/>
      <c r="B427" s="213"/>
      <c r="C427" s="243"/>
      <c r="D427" s="206"/>
      <c r="E427" s="231"/>
      <c r="F427" s="252"/>
      <c r="G427" s="217"/>
    </row>
    <row r="428" spans="1:11" x14ac:dyDescent="0.25">
      <c r="A428" s="297"/>
      <c r="B428" s="1794" t="s">
        <v>26</v>
      </c>
      <c r="C428" s="1794"/>
      <c r="D428" s="1794"/>
      <c r="E428" s="1795"/>
      <c r="F428" s="215">
        <f>SUM(F414:F425)</f>
        <v>12400000</v>
      </c>
      <c r="G428" s="213" t="s">
        <v>1845</v>
      </c>
      <c r="K428" s="36">
        <f>F428</f>
        <v>12400000</v>
      </c>
    </row>
    <row r="430" spans="1:11" x14ac:dyDescent="0.25">
      <c r="A430" s="1762" t="s">
        <v>549</v>
      </c>
      <c r="B430" s="1762"/>
      <c r="C430" s="188" t="s">
        <v>27</v>
      </c>
      <c r="D430" s="1763" t="s">
        <v>1426</v>
      </c>
      <c r="E430" s="1763"/>
      <c r="F430" s="1763"/>
      <c r="G430" s="188"/>
    </row>
    <row r="431" spans="1:11" x14ac:dyDescent="0.25">
      <c r="A431" s="1762" t="s">
        <v>28</v>
      </c>
      <c r="B431" s="1762"/>
      <c r="C431" s="188"/>
      <c r="D431" s="1764" t="s">
        <v>2832</v>
      </c>
      <c r="E431" s="1764"/>
      <c r="F431" s="1764"/>
      <c r="G431" s="188"/>
      <c r="H431" s="36"/>
    </row>
    <row r="432" spans="1:11" x14ac:dyDescent="0.25">
      <c r="A432" s="186"/>
      <c r="B432" s="187"/>
      <c r="C432" s="188"/>
      <c r="D432" s="189"/>
      <c r="E432" s="218"/>
      <c r="F432" s="218"/>
      <c r="G432" s="188"/>
    </row>
    <row r="433" spans="1:24" x14ac:dyDescent="0.25">
      <c r="A433" s="186"/>
      <c r="B433" s="187"/>
      <c r="C433" s="188"/>
      <c r="D433" s="189"/>
      <c r="E433" s="218"/>
      <c r="F433" s="218"/>
      <c r="G433" s="188"/>
    </row>
    <row r="434" spans="1:24" x14ac:dyDescent="0.25">
      <c r="A434" s="1762"/>
      <c r="B434" s="1762"/>
      <c r="C434" s="188"/>
      <c r="D434" s="189"/>
      <c r="E434" s="1762"/>
      <c r="F434" s="1762"/>
      <c r="G434" s="188"/>
    </row>
    <row r="435" spans="1:24" x14ac:dyDescent="0.25">
      <c r="A435" s="1762" t="s">
        <v>29</v>
      </c>
      <c r="B435" s="1762"/>
      <c r="C435" s="188"/>
      <c r="D435" s="1762" t="s">
        <v>2989</v>
      </c>
      <c r="E435" s="1762"/>
      <c r="F435" s="1762"/>
      <c r="G435" s="188"/>
    </row>
    <row r="437" spans="1:24" s="223" customFormat="1" x14ac:dyDescent="0.25">
      <c r="A437" s="1813" t="s">
        <v>0</v>
      </c>
      <c r="B437" s="1813"/>
      <c r="C437" s="1813"/>
      <c r="D437" s="1813"/>
      <c r="E437" s="1813"/>
      <c r="F437" s="1813"/>
      <c r="G437" s="298"/>
      <c r="I437" s="299"/>
      <c r="J437" s="299"/>
      <c r="K437" s="299"/>
      <c r="L437" s="299"/>
      <c r="M437" s="299"/>
      <c r="N437" s="299"/>
      <c r="O437" s="299"/>
      <c r="P437" s="299"/>
      <c r="Q437" s="299"/>
      <c r="R437" s="299"/>
      <c r="S437" s="299"/>
      <c r="T437" s="299"/>
      <c r="U437" s="299"/>
      <c r="V437" s="299"/>
      <c r="W437" s="299"/>
      <c r="X437" s="299"/>
    </row>
    <row r="438" spans="1:24" s="223" customFormat="1" x14ac:dyDescent="0.25">
      <c r="A438" s="1813" t="s">
        <v>1</v>
      </c>
      <c r="B438" s="1813"/>
      <c r="C438" s="1813"/>
      <c r="D438" s="1813"/>
      <c r="E438" s="1813"/>
      <c r="F438" s="1813"/>
      <c r="G438" s="298"/>
      <c r="I438" s="299"/>
      <c r="J438" s="299"/>
      <c r="K438" s="299"/>
      <c r="L438" s="299"/>
      <c r="M438" s="299"/>
      <c r="N438" s="299"/>
      <c r="O438" s="299"/>
      <c r="P438" s="299"/>
      <c r="Q438" s="299"/>
      <c r="R438" s="299"/>
      <c r="S438" s="299"/>
      <c r="T438" s="299"/>
      <c r="U438" s="299"/>
      <c r="V438" s="299"/>
      <c r="W438" s="299"/>
      <c r="X438" s="299"/>
    </row>
    <row r="439" spans="1:24" s="223" customFormat="1" x14ac:dyDescent="0.25">
      <c r="A439" s="1813" t="s">
        <v>1769</v>
      </c>
      <c r="B439" s="1813"/>
      <c r="C439" s="1813"/>
      <c r="D439" s="1813"/>
      <c r="E439" s="1813"/>
      <c r="F439" s="1813"/>
      <c r="G439" s="298"/>
      <c r="I439" s="299"/>
      <c r="J439" s="299"/>
      <c r="K439" s="299"/>
      <c r="L439" s="299"/>
      <c r="M439" s="299"/>
      <c r="N439" s="299"/>
      <c r="O439" s="299"/>
      <c r="P439" s="299"/>
      <c r="Q439" s="299"/>
      <c r="R439" s="299"/>
      <c r="S439" s="299"/>
      <c r="T439" s="299"/>
      <c r="U439" s="299"/>
      <c r="V439" s="299"/>
      <c r="W439" s="299"/>
      <c r="X439" s="299"/>
    </row>
    <row r="440" spans="1:24" s="223" customFormat="1" x14ac:dyDescent="0.25">
      <c r="A440" s="300"/>
      <c r="B440" s="300"/>
      <c r="C440" s="301"/>
      <c r="D440" s="302"/>
      <c r="E440" s="303"/>
      <c r="F440" s="219"/>
      <c r="G440" s="301"/>
      <c r="I440" s="299"/>
      <c r="J440" s="299"/>
      <c r="K440" s="299"/>
      <c r="L440" s="299"/>
      <c r="M440" s="299"/>
      <c r="N440" s="299"/>
      <c r="O440" s="299"/>
      <c r="P440" s="299"/>
      <c r="Q440" s="299"/>
      <c r="R440" s="299"/>
      <c r="S440" s="299"/>
      <c r="T440" s="299"/>
      <c r="U440" s="299"/>
      <c r="V440" s="299"/>
      <c r="W440" s="299"/>
      <c r="X440" s="299"/>
    </row>
    <row r="441" spans="1:24" s="223" customFormat="1" ht="30" x14ac:dyDescent="0.25">
      <c r="A441" s="304" t="s">
        <v>246</v>
      </c>
      <c r="B441" s="305" t="s">
        <v>3</v>
      </c>
      <c r="C441" s="305"/>
      <c r="D441" s="305"/>
      <c r="E441" s="306" t="s">
        <v>6</v>
      </c>
      <c r="F441" s="219"/>
      <c r="G441" s="301"/>
      <c r="I441" s="299"/>
      <c r="J441" s="299"/>
      <c r="K441" s="299"/>
      <c r="L441" s="299"/>
      <c r="M441" s="299"/>
      <c r="N441" s="299"/>
      <c r="O441" s="299"/>
      <c r="P441" s="299"/>
      <c r="Q441" s="299"/>
      <c r="R441" s="299"/>
      <c r="S441" s="299"/>
      <c r="T441" s="299"/>
      <c r="U441" s="299"/>
      <c r="V441" s="299"/>
      <c r="W441" s="299"/>
      <c r="X441" s="299"/>
    </row>
    <row r="442" spans="1:24" s="223" customFormat="1" ht="45" x14ac:dyDescent="0.25">
      <c r="A442" s="307" t="s">
        <v>247</v>
      </c>
      <c r="B442" s="305" t="s">
        <v>1584</v>
      </c>
      <c r="C442" s="305"/>
      <c r="D442" s="305"/>
      <c r="E442" s="308" t="s">
        <v>9</v>
      </c>
      <c r="F442" s="309"/>
      <c r="G442" s="301"/>
      <c r="I442" s="299"/>
      <c r="J442" s="299"/>
      <c r="K442" s="299"/>
      <c r="L442" s="299"/>
      <c r="M442" s="299"/>
      <c r="N442" s="299"/>
      <c r="O442" s="299"/>
      <c r="P442" s="299"/>
      <c r="Q442" s="299"/>
      <c r="R442" s="299"/>
      <c r="S442" s="299"/>
      <c r="T442" s="299"/>
      <c r="U442" s="299"/>
      <c r="V442" s="299"/>
      <c r="W442" s="299"/>
      <c r="X442" s="299"/>
    </row>
    <row r="443" spans="1:24" s="223" customFormat="1" ht="30" x14ac:dyDescent="0.25">
      <c r="A443" s="307" t="s">
        <v>7</v>
      </c>
      <c r="B443" s="305" t="s">
        <v>1585</v>
      </c>
      <c r="C443" s="305"/>
      <c r="D443" s="305"/>
      <c r="E443" s="303"/>
      <c r="F443" s="219"/>
      <c r="G443" s="301"/>
      <c r="I443" s="299"/>
      <c r="J443" s="299"/>
      <c r="K443" s="299"/>
      <c r="L443" s="299"/>
      <c r="M443" s="299"/>
      <c r="N443" s="299"/>
      <c r="O443" s="299"/>
      <c r="P443" s="299"/>
      <c r="Q443" s="299"/>
      <c r="R443" s="299"/>
      <c r="S443" s="299"/>
      <c r="T443" s="299"/>
      <c r="U443" s="299"/>
      <c r="V443" s="299"/>
      <c r="W443" s="299"/>
      <c r="X443" s="299"/>
    </row>
    <row r="444" spans="1:24" s="223" customFormat="1" x14ac:dyDescent="0.25">
      <c r="A444" s="301" t="s">
        <v>60</v>
      </c>
      <c r="B444" s="301" t="s">
        <v>61</v>
      </c>
      <c r="C444" s="301"/>
      <c r="D444" s="301"/>
      <c r="E444" s="301"/>
      <c r="F444" s="301"/>
      <c r="I444" s="299"/>
      <c r="J444" s="299"/>
      <c r="K444" s="299"/>
      <c r="L444" s="299"/>
      <c r="M444" s="299"/>
      <c r="N444" s="299"/>
      <c r="O444" s="299"/>
      <c r="P444" s="299"/>
      <c r="Q444" s="299"/>
      <c r="R444" s="299"/>
      <c r="S444" s="299"/>
      <c r="T444" s="299"/>
      <c r="U444" s="299"/>
      <c r="V444" s="299"/>
      <c r="W444" s="299"/>
      <c r="X444" s="299"/>
    </row>
    <row r="445" spans="1:24" s="223" customFormat="1" x14ac:dyDescent="0.25">
      <c r="A445" s="301" t="s">
        <v>62</v>
      </c>
      <c r="B445" s="301" t="s">
        <v>63</v>
      </c>
      <c r="C445" s="301"/>
      <c r="D445" s="1814"/>
      <c r="E445" s="1814"/>
      <c r="F445" s="301"/>
      <c r="I445" s="299"/>
      <c r="J445" s="299"/>
      <c r="K445" s="299"/>
      <c r="L445" s="299"/>
      <c r="M445" s="299"/>
      <c r="N445" s="299"/>
      <c r="O445" s="299"/>
      <c r="P445" s="299"/>
      <c r="Q445" s="299"/>
      <c r="R445" s="299"/>
      <c r="S445" s="299"/>
      <c r="T445" s="299"/>
      <c r="U445" s="299"/>
      <c r="V445" s="299"/>
      <c r="W445" s="299"/>
      <c r="X445" s="299"/>
    </row>
    <row r="446" spans="1:24" s="223" customFormat="1" x14ac:dyDescent="0.25">
      <c r="A446" s="310"/>
      <c r="B446" s="310"/>
      <c r="C446" s="310"/>
      <c r="D446" s="310"/>
      <c r="E446" s="310"/>
      <c r="F446" s="310"/>
      <c r="I446" s="299"/>
      <c r="J446" s="299"/>
      <c r="K446" s="299"/>
      <c r="L446" s="299"/>
      <c r="M446" s="299"/>
      <c r="N446" s="299"/>
      <c r="O446" s="299"/>
      <c r="P446" s="299"/>
      <c r="Q446" s="299"/>
      <c r="R446" s="299"/>
      <c r="S446" s="299"/>
      <c r="T446" s="299"/>
      <c r="U446" s="299"/>
      <c r="V446" s="299"/>
      <c r="W446" s="299"/>
      <c r="X446" s="299"/>
    </row>
    <row r="447" spans="1:24" s="223" customFormat="1" ht="30" x14ac:dyDescent="0.25">
      <c r="A447" s="311" t="s">
        <v>265</v>
      </c>
      <c r="B447" s="311" t="s">
        <v>11</v>
      </c>
      <c r="C447" s="1815" t="s">
        <v>12</v>
      </c>
      <c r="D447" s="1815"/>
      <c r="E447" s="312" t="s">
        <v>13</v>
      </c>
      <c r="F447" s="313" t="s">
        <v>14</v>
      </c>
      <c r="G447" s="314" t="s">
        <v>266</v>
      </c>
      <c r="I447" s="299"/>
      <c r="J447" s="299"/>
      <c r="K447" s="299"/>
      <c r="L447" s="299"/>
      <c r="M447" s="299"/>
      <c r="N447" s="299"/>
      <c r="O447" s="299"/>
      <c r="P447" s="299"/>
      <c r="Q447" s="299"/>
      <c r="R447" s="299"/>
      <c r="S447" s="299"/>
      <c r="T447" s="299"/>
      <c r="U447" s="299"/>
      <c r="V447" s="299"/>
      <c r="W447" s="299"/>
      <c r="X447" s="299"/>
    </row>
    <row r="448" spans="1:24" s="223" customFormat="1" x14ac:dyDescent="0.25">
      <c r="A448" s="311">
        <v>1</v>
      </c>
      <c r="B448" s="311">
        <v>2</v>
      </c>
      <c r="C448" s="1816">
        <v>3</v>
      </c>
      <c r="D448" s="1817"/>
      <c r="E448" s="315">
        <v>4</v>
      </c>
      <c r="F448" s="313">
        <v>5</v>
      </c>
      <c r="G448" s="316">
        <v>6</v>
      </c>
      <c r="I448" s="299"/>
      <c r="J448" s="299"/>
      <c r="K448" s="299"/>
      <c r="L448" s="299"/>
      <c r="M448" s="299"/>
      <c r="N448" s="299"/>
      <c r="O448" s="299"/>
      <c r="P448" s="299"/>
      <c r="Q448" s="299"/>
      <c r="R448" s="299"/>
      <c r="S448" s="299"/>
      <c r="T448" s="299"/>
      <c r="U448" s="299"/>
      <c r="V448" s="299"/>
      <c r="W448" s="299"/>
      <c r="X448" s="299"/>
    </row>
    <row r="449" spans="1:24" s="223" customFormat="1" x14ac:dyDescent="0.25">
      <c r="A449" s="317" t="s">
        <v>267</v>
      </c>
      <c r="B449" s="318" t="s">
        <v>287</v>
      </c>
      <c r="C449" s="313"/>
      <c r="D449" s="319"/>
      <c r="E449" s="315"/>
      <c r="F449" s="313"/>
      <c r="G449" s="320"/>
      <c r="I449" s="299"/>
      <c r="J449" s="299"/>
      <c r="K449" s="299"/>
      <c r="L449" s="299"/>
      <c r="M449" s="299"/>
      <c r="N449" s="299"/>
      <c r="O449" s="299"/>
      <c r="P449" s="299"/>
      <c r="Q449" s="299"/>
      <c r="R449" s="299"/>
      <c r="S449" s="299"/>
      <c r="T449" s="299"/>
      <c r="U449" s="299"/>
      <c r="V449" s="299"/>
      <c r="W449" s="299"/>
      <c r="X449" s="299"/>
    </row>
    <row r="450" spans="1:24" s="223" customFormat="1" x14ac:dyDescent="0.25">
      <c r="A450" s="317" t="s">
        <v>268</v>
      </c>
      <c r="B450" s="318" t="s">
        <v>86</v>
      </c>
      <c r="C450" s="321"/>
      <c r="D450" s="322"/>
      <c r="E450" s="323"/>
      <c r="F450" s="324"/>
      <c r="G450" s="325"/>
      <c r="I450" s="299"/>
      <c r="J450" s="299"/>
      <c r="K450" s="299"/>
      <c r="L450" s="299"/>
      <c r="M450" s="299"/>
      <c r="N450" s="299"/>
      <c r="O450" s="299"/>
      <c r="P450" s="299"/>
      <c r="Q450" s="299"/>
      <c r="R450" s="299"/>
      <c r="S450" s="299"/>
      <c r="T450" s="299"/>
      <c r="U450" s="299"/>
      <c r="V450" s="299"/>
      <c r="W450" s="299"/>
      <c r="X450" s="299"/>
    </row>
    <row r="451" spans="1:24" s="223" customFormat="1" ht="45" x14ac:dyDescent="0.25">
      <c r="A451" s="317" t="s">
        <v>289</v>
      </c>
      <c r="B451" s="318" t="s">
        <v>290</v>
      </c>
      <c r="C451" s="321"/>
      <c r="D451" s="326"/>
      <c r="E451" s="327"/>
      <c r="F451" s="328"/>
      <c r="G451" s="325"/>
      <c r="I451" s="299"/>
      <c r="J451" s="299"/>
      <c r="K451" s="299"/>
      <c r="L451" s="299"/>
      <c r="M451" s="299"/>
      <c r="N451" s="299"/>
      <c r="O451" s="299"/>
      <c r="P451" s="299"/>
      <c r="Q451" s="299"/>
      <c r="R451" s="299"/>
      <c r="S451" s="299"/>
      <c r="T451" s="299"/>
      <c r="U451" s="299"/>
      <c r="V451" s="299"/>
      <c r="W451" s="299"/>
      <c r="X451" s="299"/>
    </row>
    <row r="452" spans="1:24" s="223" customFormat="1" x14ac:dyDescent="0.25">
      <c r="A452" s="317"/>
      <c r="B452" s="318" t="s">
        <v>292</v>
      </c>
      <c r="C452" s="321">
        <v>4</v>
      </c>
      <c r="D452" s="326" t="s">
        <v>110</v>
      </c>
      <c r="E452" s="327">
        <v>90000</v>
      </c>
      <c r="F452" s="328">
        <f>E452*C452</f>
        <v>360000</v>
      </c>
      <c r="G452" s="329"/>
      <c r="I452" s="299"/>
      <c r="J452" s="299"/>
      <c r="K452" s="299"/>
      <c r="L452" s="299"/>
      <c r="M452" s="299"/>
      <c r="N452" s="299"/>
      <c r="O452" s="299"/>
      <c r="P452" s="299"/>
      <c r="Q452" s="299"/>
      <c r="R452" s="299"/>
      <c r="S452" s="299"/>
      <c r="T452" s="299"/>
      <c r="U452" s="299"/>
      <c r="V452" s="299"/>
      <c r="W452" s="299"/>
      <c r="X452" s="299"/>
    </row>
    <row r="453" spans="1:24" s="223" customFormat="1" x14ac:dyDescent="0.25">
      <c r="A453" s="317"/>
      <c r="B453" s="318"/>
      <c r="C453" s="321"/>
      <c r="D453" s="326"/>
      <c r="E453" s="327"/>
      <c r="F453" s="328"/>
      <c r="G453" s="330"/>
      <c r="I453" s="299"/>
      <c r="J453" s="299"/>
      <c r="K453" s="299"/>
      <c r="L453" s="299"/>
      <c r="M453" s="299"/>
      <c r="N453" s="299"/>
      <c r="O453" s="299"/>
      <c r="P453" s="299"/>
      <c r="Q453" s="299"/>
      <c r="R453" s="299"/>
      <c r="S453" s="299"/>
      <c r="T453" s="299"/>
      <c r="U453" s="299"/>
      <c r="V453" s="299"/>
      <c r="W453" s="299"/>
      <c r="X453" s="299"/>
    </row>
    <row r="454" spans="1:24" s="223" customFormat="1" ht="45" x14ac:dyDescent="0.25">
      <c r="A454" s="317" t="s">
        <v>277</v>
      </c>
      <c r="B454" s="318" t="s">
        <v>293</v>
      </c>
      <c r="C454" s="321"/>
      <c r="D454" s="326"/>
      <c r="E454" s="327"/>
      <c r="F454" s="328"/>
      <c r="G454" s="325"/>
      <c r="I454" s="299"/>
      <c r="J454" s="299"/>
      <c r="K454" s="299"/>
      <c r="L454" s="299"/>
      <c r="M454" s="299"/>
      <c r="N454" s="299"/>
      <c r="O454" s="299"/>
      <c r="P454" s="299"/>
      <c r="Q454" s="299"/>
      <c r="R454" s="299"/>
      <c r="S454" s="299"/>
      <c r="T454" s="299"/>
      <c r="U454" s="299"/>
      <c r="V454" s="299"/>
      <c r="W454" s="299"/>
      <c r="X454" s="299"/>
    </row>
    <row r="455" spans="1:24" s="223" customFormat="1" x14ac:dyDescent="0.25">
      <c r="A455" s="317"/>
      <c r="B455" s="318" t="s">
        <v>1586</v>
      </c>
      <c r="C455" s="321">
        <f>50*8</f>
        <v>400</v>
      </c>
      <c r="D455" s="326" t="s">
        <v>279</v>
      </c>
      <c r="E455" s="327">
        <v>15000</v>
      </c>
      <c r="F455" s="328">
        <f>E455*C455</f>
        <v>6000000</v>
      </c>
      <c r="G455" s="329"/>
      <c r="I455" s="299"/>
      <c r="J455" s="299"/>
      <c r="K455" s="299"/>
      <c r="L455" s="299"/>
      <c r="M455" s="299"/>
      <c r="N455" s="299"/>
      <c r="O455" s="299"/>
      <c r="P455" s="299"/>
      <c r="Q455" s="299"/>
      <c r="R455" s="299"/>
      <c r="S455" s="299"/>
      <c r="T455" s="299"/>
      <c r="U455" s="299"/>
      <c r="V455" s="299"/>
      <c r="W455" s="299"/>
      <c r="X455" s="299"/>
    </row>
    <row r="456" spans="1:24" s="223" customFormat="1" x14ac:dyDescent="0.25">
      <c r="A456" s="317"/>
      <c r="B456" s="318"/>
      <c r="C456" s="321"/>
      <c r="D456" s="326"/>
      <c r="E456" s="327"/>
      <c r="F456" s="328"/>
      <c r="G456" s="330"/>
      <c r="I456" s="299"/>
      <c r="J456" s="299"/>
      <c r="K456" s="299"/>
      <c r="L456" s="299"/>
      <c r="M456" s="299"/>
      <c r="N456" s="299"/>
      <c r="O456" s="299"/>
      <c r="P456" s="299"/>
      <c r="Q456" s="299"/>
      <c r="R456" s="299"/>
      <c r="S456" s="299"/>
      <c r="T456" s="299"/>
      <c r="U456" s="299"/>
      <c r="V456" s="299"/>
      <c r="W456" s="299"/>
      <c r="X456" s="299"/>
    </row>
    <row r="457" spans="1:24" s="223" customFormat="1" ht="30" x14ac:dyDescent="0.25">
      <c r="A457" s="317" t="s">
        <v>282</v>
      </c>
      <c r="B457" s="318" t="s">
        <v>295</v>
      </c>
      <c r="C457" s="321"/>
      <c r="D457" s="326"/>
      <c r="E457" s="327"/>
      <c r="F457" s="328"/>
      <c r="G457" s="325"/>
      <c r="I457" s="299"/>
      <c r="J457" s="299"/>
      <c r="K457" s="299"/>
      <c r="L457" s="299"/>
      <c r="M457" s="299"/>
      <c r="N457" s="299"/>
      <c r="O457" s="299"/>
      <c r="P457" s="299"/>
      <c r="Q457" s="299"/>
      <c r="R457" s="299"/>
      <c r="S457" s="299"/>
      <c r="T457" s="299"/>
      <c r="U457" s="299"/>
      <c r="V457" s="299"/>
      <c r="W457" s="299"/>
      <c r="X457" s="299"/>
    </row>
    <row r="458" spans="1:24" s="223" customFormat="1" x14ac:dyDescent="0.25">
      <c r="A458" s="317"/>
      <c r="B458" s="318" t="s">
        <v>296</v>
      </c>
      <c r="C458" s="321">
        <v>4</v>
      </c>
      <c r="D458" s="326" t="s">
        <v>297</v>
      </c>
      <c r="E458" s="327">
        <v>50000</v>
      </c>
      <c r="F458" s="328">
        <f>E458*C458</f>
        <v>200000</v>
      </c>
      <c r="G458" s="329"/>
      <c r="I458" s="299"/>
      <c r="J458" s="299"/>
      <c r="K458" s="299"/>
      <c r="L458" s="299"/>
      <c r="M458" s="299"/>
      <c r="N458" s="299"/>
      <c r="O458" s="299"/>
      <c r="P458" s="299"/>
      <c r="Q458" s="299"/>
      <c r="R458" s="299"/>
      <c r="S458" s="299"/>
      <c r="T458" s="299"/>
      <c r="U458" s="299"/>
      <c r="V458" s="299"/>
      <c r="W458" s="299"/>
      <c r="X458" s="299"/>
    </row>
    <row r="459" spans="1:24" s="223" customFormat="1" x14ac:dyDescent="0.25">
      <c r="A459" s="317"/>
      <c r="B459" s="318" t="s">
        <v>298</v>
      </c>
      <c r="C459" s="321">
        <v>16</v>
      </c>
      <c r="D459" s="326" t="s">
        <v>165</v>
      </c>
      <c r="E459" s="327">
        <v>5000</v>
      </c>
      <c r="F459" s="328">
        <f>E459*C459</f>
        <v>80000</v>
      </c>
      <c r="G459" s="329"/>
      <c r="I459" s="299"/>
      <c r="J459" s="299"/>
      <c r="K459" s="299"/>
      <c r="L459" s="299"/>
      <c r="M459" s="299"/>
      <c r="N459" s="299"/>
      <c r="O459" s="299"/>
      <c r="P459" s="299"/>
      <c r="Q459" s="299"/>
      <c r="R459" s="299"/>
      <c r="S459" s="299"/>
      <c r="T459" s="299"/>
      <c r="U459" s="299"/>
      <c r="V459" s="299"/>
      <c r="W459" s="299"/>
      <c r="X459" s="299"/>
    </row>
    <row r="460" spans="1:24" s="223" customFormat="1" x14ac:dyDescent="0.25">
      <c r="A460" s="317"/>
      <c r="B460" s="318" t="s">
        <v>285</v>
      </c>
      <c r="C460" s="321">
        <v>5</v>
      </c>
      <c r="D460" s="326" t="s">
        <v>165</v>
      </c>
      <c r="E460" s="327">
        <v>1000</v>
      </c>
      <c r="F460" s="328">
        <f>E460*C460</f>
        <v>5000</v>
      </c>
      <c r="G460" s="329"/>
      <c r="I460" s="299"/>
      <c r="J460" s="299"/>
      <c r="K460" s="299"/>
      <c r="L460" s="299"/>
      <c r="M460" s="299"/>
      <c r="N460" s="299"/>
      <c r="O460" s="299"/>
      <c r="P460" s="299"/>
      <c r="Q460" s="299"/>
      <c r="R460" s="299"/>
      <c r="S460" s="299"/>
      <c r="T460" s="299"/>
      <c r="U460" s="299"/>
      <c r="V460" s="299"/>
      <c r="W460" s="299"/>
      <c r="X460" s="299"/>
    </row>
    <row r="461" spans="1:24" s="223" customFormat="1" x14ac:dyDescent="0.25">
      <c r="A461" s="317"/>
      <c r="B461" s="318" t="s">
        <v>299</v>
      </c>
      <c r="C461" s="321">
        <v>4</v>
      </c>
      <c r="D461" s="326" t="s">
        <v>300</v>
      </c>
      <c r="E461" s="327">
        <v>10000</v>
      </c>
      <c r="F461" s="328">
        <f>E461*C461</f>
        <v>40000</v>
      </c>
      <c r="G461" s="329"/>
      <c r="I461" s="299"/>
      <c r="J461" s="299"/>
      <c r="K461" s="299"/>
      <c r="L461" s="299"/>
      <c r="M461" s="299"/>
      <c r="N461" s="299"/>
      <c r="O461" s="299"/>
      <c r="P461" s="299"/>
      <c r="Q461" s="299"/>
      <c r="R461" s="299"/>
      <c r="S461" s="299"/>
      <c r="T461" s="299"/>
      <c r="U461" s="299"/>
      <c r="V461" s="299"/>
      <c r="W461" s="299"/>
      <c r="X461" s="299"/>
    </row>
    <row r="462" spans="1:24" s="223" customFormat="1" x14ac:dyDescent="0.25">
      <c r="A462" s="317"/>
      <c r="B462" s="318"/>
      <c r="C462" s="321"/>
      <c r="D462" s="322"/>
      <c r="E462" s="327"/>
      <c r="F462" s="328"/>
      <c r="G462" s="329"/>
      <c r="I462" s="299"/>
      <c r="J462" s="299"/>
      <c r="K462" s="299"/>
      <c r="L462" s="299"/>
      <c r="M462" s="299"/>
      <c r="N462" s="299"/>
      <c r="O462" s="299"/>
      <c r="P462" s="299"/>
      <c r="Q462" s="299"/>
      <c r="R462" s="299"/>
      <c r="S462" s="299"/>
      <c r="T462" s="299"/>
      <c r="U462" s="299"/>
      <c r="V462" s="299"/>
      <c r="W462" s="299"/>
      <c r="X462" s="299"/>
    </row>
    <row r="463" spans="1:24" s="223" customFormat="1" x14ac:dyDescent="0.25">
      <c r="A463" s="331"/>
      <c r="B463" s="332"/>
      <c r="C463" s="333"/>
      <c r="D463" s="322"/>
      <c r="E463" s="334"/>
      <c r="F463" s="335"/>
      <c r="G463" s="329"/>
      <c r="I463" s="299"/>
      <c r="J463" s="299"/>
      <c r="K463" s="299"/>
      <c r="L463" s="299"/>
      <c r="M463" s="299"/>
      <c r="N463" s="299"/>
      <c r="O463" s="299"/>
      <c r="P463" s="299"/>
      <c r="Q463" s="299"/>
      <c r="R463" s="299"/>
      <c r="S463" s="299"/>
      <c r="T463" s="299"/>
      <c r="U463" s="299"/>
      <c r="V463" s="299"/>
      <c r="W463" s="299"/>
      <c r="X463" s="299"/>
    </row>
    <row r="464" spans="1:24" s="223" customFormat="1" x14ac:dyDescent="0.25">
      <c r="A464" s="336"/>
      <c r="B464" s="1827" t="s">
        <v>26</v>
      </c>
      <c r="C464" s="1827"/>
      <c r="D464" s="1827"/>
      <c r="E464" s="1828"/>
      <c r="F464" s="337">
        <f>SUM(F451:F461)</f>
        <v>6685000</v>
      </c>
      <c r="G464" s="332" t="s">
        <v>1845</v>
      </c>
      <c r="I464" s="299"/>
      <c r="J464" s="299"/>
      <c r="K464" s="299">
        <f>F464</f>
        <v>6685000</v>
      </c>
      <c r="L464" s="299"/>
      <c r="M464" s="299"/>
      <c r="N464" s="299"/>
      <c r="O464" s="299"/>
      <c r="P464" s="299"/>
      <c r="Q464" s="299"/>
      <c r="R464" s="299"/>
      <c r="S464" s="299"/>
      <c r="T464" s="299"/>
      <c r="U464" s="299"/>
      <c r="V464" s="299"/>
      <c r="W464" s="299"/>
      <c r="X464" s="299"/>
    </row>
    <row r="465" spans="1:8" x14ac:dyDescent="0.25">
      <c r="A465" s="1762" t="s">
        <v>549</v>
      </c>
      <c r="B465" s="1762"/>
      <c r="C465" s="188" t="s">
        <v>27</v>
      </c>
      <c r="D465" s="1763" t="s">
        <v>1426</v>
      </c>
      <c r="E465" s="1763"/>
      <c r="F465" s="1763"/>
      <c r="G465" s="188"/>
    </row>
    <row r="466" spans="1:8" x14ac:dyDescent="0.25">
      <c r="A466" s="1762" t="s">
        <v>28</v>
      </c>
      <c r="B466" s="1762"/>
      <c r="C466" s="188"/>
      <c r="D466" s="1764" t="s">
        <v>2832</v>
      </c>
      <c r="E466" s="1764"/>
      <c r="F466" s="1764"/>
      <c r="G466" s="188"/>
      <c r="H466" s="36"/>
    </row>
    <row r="467" spans="1:8" x14ac:dyDescent="0.25">
      <c r="A467" s="186"/>
      <c r="B467" s="187"/>
      <c r="C467" s="188"/>
      <c r="D467" s="189"/>
      <c r="E467" s="218"/>
      <c r="F467" s="218"/>
      <c r="G467" s="188"/>
    </row>
    <row r="468" spans="1:8" x14ac:dyDescent="0.25">
      <c r="A468" s="186"/>
      <c r="B468" s="187"/>
      <c r="C468" s="188"/>
      <c r="D468" s="189"/>
      <c r="E468" s="218"/>
      <c r="F468" s="218"/>
      <c r="G468" s="188"/>
    </row>
    <row r="469" spans="1:8" x14ac:dyDescent="0.25">
      <c r="A469" s="1762"/>
      <c r="B469" s="1762"/>
      <c r="C469" s="188"/>
      <c r="D469" s="189"/>
      <c r="E469" s="1762"/>
      <c r="F469" s="1762"/>
      <c r="G469" s="188"/>
    </row>
    <row r="470" spans="1:8" x14ac:dyDescent="0.25">
      <c r="A470" s="1762" t="s">
        <v>29</v>
      </c>
      <c r="B470" s="1762"/>
      <c r="C470" s="188"/>
      <c r="D470" s="1762" t="s">
        <v>2989</v>
      </c>
      <c r="E470" s="1762"/>
      <c r="F470" s="1762"/>
      <c r="G470" s="188"/>
    </row>
    <row r="472" spans="1:8" x14ac:dyDescent="0.25">
      <c r="A472" s="1765" t="s">
        <v>0</v>
      </c>
      <c r="B472" s="1765"/>
      <c r="C472" s="1765"/>
      <c r="D472" s="1765"/>
      <c r="E472" s="1765"/>
      <c r="F472" s="1765"/>
      <c r="G472" s="185"/>
    </row>
    <row r="473" spans="1:8" x14ac:dyDescent="0.25">
      <c r="A473" s="1765" t="s">
        <v>1</v>
      </c>
      <c r="B473" s="1765"/>
      <c r="C473" s="1765"/>
      <c r="D473" s="1765"/>
      <c r="E473" s="1765"/>
      <c r="F473" s="1765"/>
      <c r="G473" s="185"/>
    </row>
    <row r="474" spans="1:8" x14ac:dyDescent="0.25">
      <c r="A474" s="1765" t="s">
        <v>1769</v>
      </c>
      <c r="B474" s="1765"/>
      <c r="C474" s="1765"/>
      <c r="D474" s="1765"/>
      <c r="E474" s="1765"/>
      <c r="F474" s="1765"/>
      <c r="G474" s="185"/>
    </row>
    <row r="475" spans="1:8" x14ac:dyDescent="0.25">
      <c r="A475" s="184"/>
      <c r="B475" s="184"/>
      <c r="C475" s="184"/>
      <c r="D475" s="184"/>
      <c r="E475" s="184"/>
      <c r="F475" s="184"/>
      <c r="G475" s="185"/>
    </row>
    <row r="476" spans="1:8" x14ac:dyDescent="0.25">
      <c r="A476" s="186" t="s">
        <v>246</v>
      </c>
      <c r="B476" s="187" t="s">
        <v>3</v>
      </c>
      <c r="C476" s="188"/>
      <c r="D476" s="189"/>
      <c r="E476" s="190"/>
      <c r="F476" s="191"/>
      <c r="G476" s="188"/>
    </row>
    <row r="477" spans="1:8" ht="36.75" x14ac:dyDescent="0.25">
      <c r="A477" s="192" t="s">
        <v>247</v>
      </c>
      <c r="B477" s="187" t="s">
        <v>5</v>
      </c>
      <c r="C477" s="188"/>
      <c r="D477" s="189"/>
      <c r="E477" s="227" t="s">
        <v>6</v>
      </c>
      <c r="F477" s="191"/>
      <c r="G477" s="188"/>
    </row>
    <row r="478" spans="1:8" x14ac:dyDescent="0.25">
      <c r="A478" s="192" t="s">
        <v>7</v>
      </c>
      <c r="B478" s="187" t="s">
        <v>301</v>
      </c>
      <c r="C478" s="188"/>
      <c r="D478" s="189"/>
      <c r="E478" s="195" t="s">
        <v>9</v>
      </c>
      <c r="F478" s="196"/>
      <c r="G478" s="188"/>
    </row>
    <row r="479" spans="1:8" x14ac:dyDescent="0.25">
      <c r="A479" s="221" t="s">
        <v>37</v>
      </c>
      <c r="B479" s="187" t="s">
        <v>61</v>
      </c>
      <c r="C479" s="188"/>
      <c r="D479" s="189"/>
      <c r="E479" s="190"/>
      <c r="F479" s="191"/>
      <c r="G479" s="188"/>
    </row>
    <row r="480" spans="1:8" x14ac:dyDescent="0.25">
      <c r="A480" s="192" t="s">
        <v>10</v>
      </c>
      <c r="B480" s="187"/>
      <c r="C480" s="188"/>
      <c r="D480" s="189"/>
      <c r="E480" s="190"/>
      <c r="F480" s="191"/>
      <c r="G480" s="188"/>
    </row>
    <row r="481" spans="1:11" x14ac:dyDescent="0.25">
      <c r="A481" s="192"/>
      <c r="B481" s="187"/>
      <c r="C481" s="188"/>
      <c r="D481" s="189"/>
      <c r="E481" s="190"/>
      <c r="F481" s="191"/>
      <c r="G481" s="188"/>
    </row>
    <row r="482" spans="1:11" ht="24" x14ac:dyDescent="0.25">
      <c r="A482" s="197" t="s">
        <v>30</v>
      </c>
      <c r="B482" s="198" t="s">
        <v>31</v>
      </c>
      <c r="C482" s="1773" t="s">
        <v>12</v>
      </c>
      <c r="D482" s="1774"/>
      <c r="E482" s="198" t="s">
        <v>32</v>
      </c>
      <c r="F482" s="199" t="s">
        <v>33</v>
      </c>
      <c r="G482" s="197" t="s">
        <v>34</v>
      </c>
    </row>
    <row r="483" spans="1:11" x14ac:dyDescent="0.25">
      <c r="A483" s="200">
        <v>1</v>
      </c>
      <c r="B483" s="200">
        <v>2</v>
      </c>
      <c r="C483" s="1789">
        <v>3</v>
      </c>
      <c r="D483" s="1789"/>
      <c r="E483" s="201">
        <v>4</v>
      </c>
      <c r="F483" s="202">
        <v>5</v>
      </c>
      <c r="G483" s="202">
        <v>6</v>
      </c>
    </row>
    <row r="484" spans="1:11" x14ac:dyDescent="0.25">
      <c r="A484" s="212" t="s">
        <v>302</v>
      </c>
      <c r="B484" s="238" t="s">
        <v>287</v>
      </c>
      <c r="C484" s="205"/>
      <c r="D484" s="206"/>
      <c r="E484" s="197"/>
      <c r="F484" s="199"/>
      <c r="G484" s="197"/>
    </row>
    <row r="485" spans="1:11" x14ac:dyDescent="0.25">
      <c r="A485" s="229" t="s">
        <v>303</v>
      </c>
      <c r="B485" s="213" t="s">
        <v>304</v>
      </c>
      <c r="C485" s="214"/>
      <c r="D485" s="206"/>
      <c r="E485" s="215"/>
      <c r="F485" s="215"/>
      <c r="G485" s="217"/>
    </row>
    <row r="486" spans="1:11" x14ac:dyDescent="0.25">
      <c r="A486" s="212" t="s">
        <v>305</v>
      </c>
      <c r="B486" s="213" t="s">
        <v>306</v>
      </c>
      <c r="C486" s="243"/>
      <c r="D486" s="206"/>
      <c r="E486" s="217"/>
      <c r="F486" s="217"/>
      <c r="G486" s="217"/>
    </row>
    <row r="487" spans="1:11" ht="24.75" x14ac:dyDescent="0.25">
      <c r="A487" s="212"/>
      <c r="B487" s="213" t="s">
        <v>2650</v>
      </c>
      <c r="C487" s="214">
        <f>9*12</f>
        <v>108</v>
      </c>
      <c r="D487" s="244" t="s">
        <v>21</v>
      </c>
      <c r="E487" s="215">
        <v>3298116.5</v>
      </c>
      <c r="F487" s="215">
        <f t="shared" ref="F487:F492" si="9">C487*E487</f>
        <v>356196582</v>
      </c>
      <c r="G487" s="217"/>
    </row>
    <row r="488" spans="1:11" x14ac:dyDescent="0.25">
      <c r="A488" s="212"/>
      <c r="B488" s="213" t="s">
        <v>307</v>
      </c>
      <c r="C488" s="214">
        <v>12</v>
      </c>
      <c r="D488" s="244" t="s">
        <v>21</v>
      </c>
      <c r="E488" s="215">
        <v>3400000</v>
      </c>
      <c r="F488" s="215">
        <f t="shared" si="9"/>
        <v>40800000</v>
      </c>
      <c r="G488" s="217"/>
    </row>
    <row r="489" spans="1:11" x14ac:dyDescent="0.25">
      <c r="A489" s="212"/>
      <c r="B489" s="213" t="s">
        <v>308</v>
      </c>
      <c r="C489" s="214">
        <v>12</v>
      </c>
      <c r="D489" s="244" t="s">
        <v>21</v>
      </c>
      <c r="E489" s="215">
        <v>3298116.5</v>
      </c>
      <c r="F489" s="215">
        <f t="shared" si="9"/>
        <v>39577398</v>
      </c>
      <c r="G489" s="217"/>
    </row>
    <row r="490" spans="1:11" x14ac:dyDescent="0.25">
      <c r="A490" s="212"/>
      <c r="B490" s="217" t="s">
        <v>309</v>
      </c>
      <c r="C490" s="214">
        <v>12</v>
      </c>
      <c r="D490" s="244" t="s">
        <v>21</v>
      </c>
      <c r="E490" s="215">
        <v>3400000</v>
      </c>
      <c r="F490" s="215">
        <f t="shared" si="9"/>
        <v>40800000</v>
      </c>
      <c r="G490" s="217"/>
    </row>
    <row r="491" spans="1:11" x14ac:dyDescent="0.25">
      <c r="A491" s="212"/>
      <c r="B491" s="217" t="s">
        <v>2986</v>
      </c>
      <c r="C491" s="214">
        <v>12</v>
      </c>
      <c r="D491" s="244" t="s">
        <v>21</v>
      </c>
      <c r="E491" s="215">
        <v>2500000</v>
      </c>
      <c r="F491" s="215">
        <f t="shared" si="9"/>
        <v>30000000</v>
      </c>
      <c r="G491" s="217"/>
    </row>
    <row r="492" spans="1:11" ht="24.75" x14ac:dyDescent="0.25">
      <c r="A492" s="212"/>
      <c r="B492" s="213" t="s">
        <v>2987</v>
      </c>
      <c r="C492" s="214">
        <v>12</v>
      </c>
      <c r="D492" s="244" t="s">
        <v>21</v>
      </c>
      <c r="E492" s="215">
        <v>1500000</v>
      </c>
      <c r="F492" s="215">
        <f t="shared" si="9"/>
        <v>18000000</v>
      </c>
      <c r="G492" s="217"/>
    </row>
    <row r="493" spans="1:11" ht="24.75" x14ac:dyDescent="0.25">
      <c r="A493" s="338"/>
      <c r="B493" s="213" t="s">
        <v>2988</v>
      </c>
      <c r="C493" s="214">
        <v>12</v>
      </c>
      <c r="D493" s="244" t="s">
        <v>21</v>
      </c>
      <c r="E493" s="215">
        <v>1700000</v>
      </c>
      <c r="F493" s="215">
        <f>E493*C493</f>
        <v>20400000</v>
      </c>
      <c r="G493" s="217"/>
    </row>
    <row r="494" spans="1:11" x14ac:dyDescent="0.25">
      <c r="A494" s="338"/>
      <c r="B494" s="213"/>
      <c r="C494" s="214"/>
      <c r="D494" s="244"/>
      <c r="E494" s="215"/>
      <c r="F494" s="215"/>
      <c r="G494" s="217"/>
    </row>
    <row r="495" spans="1:11" x14ac:dyDescent="0.25">
      <c r="A495" s="297"/>
      <c r="B495" s="1794" t="s">
        <v>26</v>
      </c>
      <c r="C495" s="1794"/>
      <c r="D495" s="1794"/>
      <c r="E495" s="1795"/>
      <c r="F495" s="215">
        <f>SUM(F487:F494)</f>
        <v>545773980</v>
      </c>
      <c r="G495" s="217" t="s">
        <v>1845</v>
      </c>
      <c r="K495" s="36">
        <f>F495</f>
        <v>545773980</v>
      </c>
    </row>
    <row r="496" spans="1:11" x14ac:dyDescent="0.25">
      <c r="E496" s="36"/>
    </row>
    <row r="497" spans="1:24" x14ac:dyDescent="0.25">
      <c r="A497" s="1762" t="s">
        <v>549</v>
      </c>
      <c r="B497" s="1762"/>
      <c r="C497" s="188" t="s">
        <v>27</v>
      </c>
      <c r="D497" s="1763" t="s">
        <v>1426</v>
      </c>
      <c r="E497" s="1763"/>
      <c r="F497" s="1763"/>
      <c r="G497" s="188"/>
    </row>
    <row r="498" spans="1:24" x14ac:dyDescent="0.25">
      <c r="A498" s="1762" t="s">
        <v>28</v>
      </c>
      <c r="B498" s="1762"/>
      <c r="C498" s="188"/>
      <c r="D498" s="1764" t="s">
        <v>2832</v>
      </c>
      <c r="E498" s="1764"/>
      <c r="F498" s="1764"/>
      <c r="G498" s="188"/>
      <c r="H498" s="36"/>
    </row>
    <row r="499" spans="1:24" x14ac:dyDescent="0.25">
      <c r="A499" s="186"/>
      <c r="B499" s="187"/>
      <c r="C499" s="188"/>
      <c r="D499" s="189"/>
      <c r="E499" s="218"/>
      <c r="F499" s="218"/>
      <c r="G499" s="188"/>
    </row>
    <row r="500" spans="1:24" x14ac:dyDescent="0.25">
      <c r="A500" s="186"/>
      <c r="B500" s="187"/>
      <c r="C500" s="188"/>
      <c r="D500" s="189"/>
      <c r="E500" s="218"/>
      <c r="F500" s="218"/>
      <c r="G500" s="188"/>
    </row>
    <row r="501" spans="1:24" x14ac:dyDescent="0.25">
      <c r="A501" s="1762"/>
      <c r="B501" s="1762"/>
      <c r="C501" s="188"/>
      <c r="D501" s="189"/>
      <c r="E501" s="1762"/>
      <c r="F501" s="1762"/>
      <c r="G501" s="188"/>
    </row>
    <row r="502" spans="1:24" x14ac:dyDescent="0.25">
      <c r="A502" s="1762" t="s">
        <v>29</v>
      </c>
      <c r="B502" s="1762"/>
      <c r="C502" s="188"/>
      <c r="D502" s="1762" t="s">
        <v>2989</v>
      </c>
      <c r="E502" s="1762"/>
      <c r="F502" s="1762"/>
      <c r="G502" s="188"/>
    </row>
    <row r="504" spans="1:24" s="223" customFormat="1" x14ac:dyDescent="0.25">
      <c r="A504" s="1813" t="s">
        <v>0</v>
      </c>
      <c r="B504" s="1813"/>
      <c r="C504" s="1813"/>
      <c r="D504" s="1813"/>
      <c r="E504" s="1813"/>
      <c r="F504" s="1813"/>
      <c r="G504" s="298"/>
      <c r="I504" s="299"/>
      <c r="J504" s="299"/>
      <c r="K504" s="299"/>
      <c r="L504" s="299"/>
      <c r="M504" s="299"/>
      <c r="N504" s="299"/>
      <c r="O504" s="299"/>
      <c r="P504" s="299"/>
      <c r="Q504" s="299"/>
      <c r="R504" s="299"/>
      <c r="S504" s="299"/>
      <c r="T504" s="299"/>
      <c r="U504" s="299"/>
      <c r="V504" s="299"/>
      <c r="W504" s="299"/>
      <c r="X504" s="299"/>
    </row>
    <row r="505" spans="1:24" s="223" customFormat="1" x14ac:dyDescent="0.25">
      <c r="A505" s="1813" t="s">
        <v>1</v>
      </c>
      <c r="B505" s="1813"/>
      <c r="C505" s="1813"/>
      <c r="D505" s="1813"/>
      <c r="E505" s="1813"/>
      <c r="F505" s="1813"/>
      <c r="G505" s="298"/>
      <c r="I505" s="299"/>
      <c r="J505" s="299"/>
      <c r="K505" s="299"/>
      <c r="L505" s="299"/>
      <c r="M505" s="299"/>
      <c r="N505" s="299"/>
      <c r="O505" s="299"/>
      <c r="P505" s="299"/>
      <c r="Q505" s="299"/>
      <c r="R505" s="299"/>
      <c r="S505" s="299"/>
      <c r="T505" s="299"/>
      <c r="U505" s="299"/>
      <c r="V505" s="299"/>
      <c r="W505" s="299"/>
      <c r="X505" s="299"/>
    </row>
    <row r="506" spans="1:24" s="223" customFormat="1" x14ac:dyDescent="0.25">
      <c r="A506" s="1813" t="s">
        <v>1769</v>
      </c>
      <c r="B506" s="1813"/>
      <c r="C506" s="1813"/>
      <c r="D506" s="1813"/>
      <c r="E506" s="1813"/>
      <c r="F506" s="1813"/>
      <c r="G506" s="298"/>
      <c r="I506" s="299"/>
      <c r="J506" s="299"/>
      <c r="K506" s="299"/>
      <c r="L506" s="299"/>
      <c r="M506" s="299"/>
      <c r="N506" s="299"/>
      <c r="O506" s="299"/>
      <c r="P506" s="299"/>
      <c r="Q506" s="299"/>
      <c r="R506" s="299"/>
      <c r="S506" s="299"/>
      <c r="T506" s="299"/>
      <c r="U506" s="299"/>
      <c r="V506" s="299"/>
      <c r="W506" s="299"/>
      <c r="X506" s="299"/>
    </row>
    <row r="507" spans="1:24" s="223" customFormat="1" x14ac:dyDescent="0.25">
      <c r="A507" s="300"/>
      <c r="B507" s="300"/>
      <c r="C507" s="300"/>
      <c r="D507" s="300"/>
      <c r="E507" s="300"/>
      <c r="F507" s="300"/>
      <c r="G507" s="298"/>
      <c r="I507" s="299"/>
      <c r="J507" s="299"/>
      <c r="K507" s="299"/>
      <c r="L507" s="299"/>
      <c r="M507" s="299"/>
      <c r="N507" s="299"/>
      <c r="O507" s="299"/>
      <c r="P507" s="299"/>
      <c r="Q507" s="299"/>
      <c r="R507" s="299"/>
      <c r="S507" s="299"/>
      <c r="T507" s="299"/>
      <c r="U507" s="299"/>
      <c r="V507" s="299"/>
      <c r="W507" s="299"/>
      <c r="X507" s="299"/>
    </row>
    <row r="508" spans="1:24" s="223" customFormat="1" ht="30" x14ac:dyDescent="0.25">
      <c r="A508" s="304" t="s">
        <v>246</v>
      </c>
      <c r="B508" s="310" t="s">
        <v>3</v>
      </c>
      <c r="C508" s="301"/>
      <c r="D508" s="302"/>
      <c r="E508" s="303"/>
      <c r="F508" s="219"/>
      <c r="G508" s="301"/>
      <c r="I508" s="299"/>
      <c r="J508" s="299"/>
      <c r="K508" s="299"/>
      <c r="L508" s="299"/>
      <c r="M508" s="299"/>
      <c r="N508" s="299"/>
      <c r="O508" s="299"/>
      <c r="P508" s="299"/>
      <c r="Q508" s="299"/>
      <c r="R508" s="299"/>
      <c r="S508" s="299"/>
      <c r="T508" s="299"/>
      <c r="U508" s="299"/>
      <c r="V508" s="299"/>
      <c r="W508" s="299"/>
      <c r="X508" s="299"/>
    </row>
    <row r="509" spans="1:24" s="223" customFormat="1" ht="45" x14ac:dyDescent="0.25">
      <c r="A509" s="307" t="s">
        <v>247</v>
      </c>
      <c r="B509" s="310" t="s">
        <v>1584</v>
      </c>
      <c r="C509" s="301"/>
      <c r="D509" s="302"/>
      <c r="E509" s="306" t="s">
        <v>6</v>
      </c>
      <c r="F509" s="219"/>
      <c r="G509" s="301"/>
      <c r="I509" s="299"/>
      <c r="J509" s="299"/>
      <c r="K509" s="299"/>
      <c r="L509" s="299"/>
      <c r="M509" s="299"/>
      <c r="N509" s="299"/>
      <c r="O509" s="299"/>
      <c r="P509" s="299"/>
      <c r="Q509" s="299"/>
      <c r="R509" s="299"/>
      <c r="S509" s="299"/>
      <c r="T509" s="299"/>
      <c r="U509" s="299"/>
      <c r="V509" s="299"/>
      <c r="W509" s="299"/>
      <c r="X509" s="299"/>
    </row>
    <row r="510" spans="1:24" s="223" customFormat="1" ht="30" x14ac:dyDescent="0.25">
      <c r="A510" s="307" t="s">
        <v>7</v>
      </c>
      <c r="B510" s="310" t="s">
        <v>1354</v>
      </c>
      <c r="C510" s="301"/>
      <c r="D510" s="302"/>
      <c r="E510" s="308" t="s">
        <v>9</v>
      </c>
      <c r="F510" s="309"/>
      <c r="G510" s="301"/>
      <c r="I510" s="299"/>
      <c r="J510" s="299"/>
      <c r="K510" s="299"/>
      <c r="L510" s="299"/>
      <c r="M510" s="299"/>
      <c r="N510" s="299"/>
      <c r="O510" s="299"/>
      <c r="P510" s="299"/>
      <c r="Q510" s="299"/>
      <c r="R510" s="299"/>
      <c r="S510" s="299"/>
      <c r="T510" s="299"/>
      <c r="U510" s="299"/>
      <c r="V510" s="299"/>
      <c r="W510" s="299"/>
      <c r="X510" s="299"/>
    </row>
    <row r="511" spans="1:24" s="223" customFormat="1" ht="30" x14ac:dyDescent="0.25">
      <c r="A511" s="339" t="s">
        <v>37</v>
      </c>
      <c r="B511" s="310"/>
      <c r="C511" s="301"/>
      <c r="D511" s="302"/>
      <c r="E511" s="303"/>
      <c r="F511" s="219"/>
      <c r="G511" s="301"/>
      <c r="I511" s="299"/>
      <c r="J511" s="299"/>
      <c r="K511" s="299"/>
      <c r="L511" s="299"/>
      <c r="M511" s="299"/>
      <c r="N511" s="299"/>
      <c r="O511" s="299"/>
      <c r="P511" s="299"/>
      <c r="Q511" s="299"/>
      <c r="R511" s="299"/>
      <c r="S511" s="299"/>
      <c r="T511" s="299"/>
      <c r="U511" s="299"/>
      <c r="V511" s="299"/>
      <c r="W511" s="299"/>
      <c r="X511" s="299"/>
    </row>
    <row r="512" spans="1:24" s="223" customFormat="1" x14ac:dyDescent="0.25">
      <c r="A512" s="307" t="s">
        <v>10</v>
      </c>
      <c r="B512" s="310"/>
      <c r="C512" s="301"/>
      <c r="D512" s="302"/>
      <c r="E512" s="303"/>
      <c r="F512" s="219"/>
      <c r="G512" s="301"/>
      <c r="I512" s="299"/>
      <c r="J512" s="299"/>
      <c r="K512" s="299"/>
      <c r="L512" s="299"/>
      <c r="M512" s="299"/>
      <c r="N512" s="299"/>
      <c r="O512" s="299"/>
      <c r="P512" s="299"/>
      <c r="Q512" s="299"/>
      <c r="R512" s="299"/>
      <c r="S512" s="299"/>
      <c r="T512" s="299"/>
      <c r="U512" s="299"/>
      <c r="V512" s="299"/>
      <c r="W512" s="299"/>
      <c r="X512" s="299"/>
    </row>
    <row r="513" spans="1:24" s="223" customFormat="1" x14ac:dyDescent="0.25">
      <c r="A513" s="307"/>
      <c r="B513" s="310"/>
      <c r="C513" s="301"/>
      <c r="D513" s="302"/>
      <c r="E513" s="303"/>
      <c r="F513" s="219"/>
      <c r="G513" s="301"/>
      <c r="I513" s="299"/>
      <c r="J513" s="299"/>
      <c r="K513" s="299"/>
      <c r="L513" s="299"/>
      <c r="M513" s="299"/>
      <c r="N513" s="299"/>
      <c r="O513" s="299"/>
      <c r="P513" s="299"/>
      <c r="Q513" s="299"/>
      <c r="R513" s="299"/>
      <c r="S513" s="299"/>
      <c r="T513" s="299"/>
      <c r="U513" s="299"/>
      <c r="V513" s="299"/>
      <c r="W513" s="299"/>
      <c r="X513" s="299"/>
    </row>
    <row r="514" spans="1:24" s="223" customFormat="1" ht="30" x14ac:dyDescent="0.25">
      <c r="A514" s="323" t="s">
        <v>30</v>
      </c>
      <c r="B514" s="311" t="s">
        <v>31</v>
      </c>
      <c r="C514" s="1838" t="s">
        <v>12</v>
      </c>
      <c r="D514" s="1839"/>
      <c r="E514" s="311" t="s">
        <v>32</v>
      </c>
      <c r="F514" s="324" t="s">
        <v>33</v>
      </c>
      <c r="G514" s="323" t="s">
        <v>34</v>
      </c>
      <c r="I514" s="299"/>
      <c r="J514" s="299"/>
      <c r="K514" s="299"/>
      <c r="L514" s="299"/>
      <c r="M514" s="299"/>
      <c r="N514" s="299"/>
      <c r="O514" s="299"/>
      <c r="P514" s="299"/>
      <c r="Q514" s="299"/>
      <c r="R514" s="299"/>
      <c r="S514" s="299"/>
      <c r="T514" s="299"/>
      <c r="U514" s="299"/>
      <c r="V514" s="299"/>
      <c r="W514" s="299"/>
      <c r="X514" s="299"/>
    </row>
    <row r="515" spans="1:24" s="223" customFormat="1" x14ac:dyDescent="0.25">
      <c r="A515" s="340">
        <v>1</v>
      </c>
      <c r="B515" s="340">
        <v>2</v>
      </c>
      <c r="C515" s="1840">
        <v>3</v>
      </c>
      <c r="D515" s="1840"/>
      <c r="E515" s="341">
        <v>4</v>
      </c>
      <c r="F515" s="342">
        <v>5</v>
      </c>
      <c r="G515" s="342">
        <v>6</v>
      </c>
      <c r="I515" s="299"/>
      <c r="J515" s="299"/>
      <c r="K515" s="299"/>
      <c r="L515" s="299"/>
      <c r="M515" s="299"/>
      <c r="N515" s="299"/>
      <c r="O515" s="299"/>
      <c r="P515" s="299"/>
      <c r="Q515" s="299"/>
      <c r="R515" s="299"/>
      <c r="S515" s="299"/>
      <c r="T515" s="299"/>
      <c r="U515" s="299"/>
      <c r="V515" s="299"/>
      <c r="W515" s="299"/>
      <c r="X515" s="299"/>
    </row>
    <row r="516" spans="1:24" s="223" customFormat="1" x14ac:dyDescent="0.25">
      <c r="A516" s="317" t="s">
        <v>1587</v>
      </c>
      <c r="B516" s="318" t="s">
        <v>84</v>
      </c>
      <c r="C516" s="321"/>
      <c r="D516" s="322"/>
      <c r="E516" s="323"/>
      <c r="F516" s="324"/>
      <c r="G516" s="343"/>
      <c r="I516" s="299"/>
      <c r="J516" s="299"/>
      <c r="K516" s="299"/>
      <c r="L516" s="299"/>
      <c r="M516" s="299"/>
      <c r="N516" s="299"/>
      <c r="O516" s="299"/>
      <c r="P516" s="299"/>
      <c r="Q516" s="299"/>
      <c r="R516" s="299"/>
      <c r="S516" s="299"/>
      <c r="T516" s="299"/>
      <c r="U516" s="299"/>
      <c r="V516" s="299"/>
      <c r="W516" s="299"/>
      <c r="X516" s="299"/>
    </row>
    <row r="517" spans="1:24" s="223" customFormat="1" x14ac:dyDescent="0.25">
      <c r="A517" s="317" t="s">
        <v>1588</v>
      </c>
      <c r="B517" s="318" t="s">
        <v>86</v>
      </c>
      <c r="C517" s="321"/>
      <c r="D517" s="322"/>
      <c r="E517" s="323"/>
      <c r="F517" s="324"/>
      <c r="G517" s="343"/>
      <c r="I517" s="299"/>
      <c r="J517" s="299"/>
      <c r="K517" s="299"/>
      <c r="L517" s="299"/>
      <c r="M517" s="299"/>
      <c r="N517" s="299"/>
      <c r="O517" s="299"/>
      <c r="P517" s="299"/>
      <c r="Q517" s="299"/>
      <c r="R517" s="299"/>
      <c r="S517" s="299"/>
      <c r="T517" s="299"/>
      <c r="U517" s="299"/>
      <c r="V517" s="299"/>
      <c r="W517" s="299"/>
      <c r="X517" s="299"/>
    </row>
    <row r="518" spans="1:24" s="223" customFormat="1" ht="30" x14ac:dyDescent="0.25">
      <c r="A518" s="317" t="s">
        <v>1589</v>
      </c>
      <c r="B518" s="332" t="s">
        <v>270</v>
      </c>
      <c r="C518" s="333"/>
      <c r="D518" s="344"/>
      <c r="E518" s="334"/>
      <c r="F518" s="335"/>
      <c r="G518" s="343"/>
      <c r="I518" s="299"/>
      <c r="J518" s="299"/>
      <c r="K518" s="299"/>
      <c r="L518" s="299"/>
      <c r="M518" s="299"/>
      <c r="N518" s="299"/>
      <c r="O518" s="299"/>
      <c r="P518" s="299"/>
      <c r="Q518" s="299"/>
      <c r="R518" s="299"/>
      <c r="S518" s="299"/>
      <c r="T518" s="299"/>
      <c r="U518" s="299"/>
      <c r="V518" s="299"/>
      <c r="W518" s="299"/>
      <c r="X518" s="299"/>
    </row>
    <row r="519" spans="1:24" s="223" customFormat="1" x14ac:dyDescent="0.25">
      <c r="A519" s="329"/>
      <c r="B519" s="329" t="s">
        <v>2802</v>
      </c>
      <c r="C519" s="345">
        <v>50</v>
      </c>
      <c r="D519" s="344" t="s">
        <v>272</v>
      </c>
      <c r="E519" s="334">
        <v>4500</v>
      </c>
      <c r="F519" s="335">
        <f>C519*E519</f>
        <v>225000</v>
      </c>
      <c r="G519" s="343"/>
      <c r="I519" s="299"/>
      <c r="J519" s="299"/>
      <c r="K519" s="299"/>
      <c r="L519" s="299"/>
      <c r="M519" s="299"/>
      <c r="N519" s="299"/>
      <c r="O519" s="299"/>
      <c r="P519" s="299"/>
      <c r="Q519" s="299"/>
      <c r="R519" s="299"/>
      <c r="S519" s="299"/>
      <c r="T519" s="299"/>
      <c r="U519" s="299"/>
      <c r="V519" s="299"/>
      <c r="W519" s="299"/>
      <c r="X519" s="299"/>
    </row>
    <row r="520" spans="1:24" s="223" customFormat="1" x14ac:dyDescent="0.25">
      <c r="A520" s="329"/>
      <c r="B520" s="346" t="s">
        <v>2779</v>
      </c>
      <c r="C520" s="345">
        <v>1</v>
      </c>
      <c r="D520" s="344" t="s">
        <v>89</v>
      </c>
      <c r="E520" s="334">
        <v>70000</v>
      </c>
      <c r="F520" s="335">
        <f>C520*E520</f>
        <v>70000</v>
      </c>
      <c r="G520" s="343"/>
      <c r="I520" s="299"/>
      <c r="J520" s="299"/>
      <c r="K520" s="299"/>
      <c r="L520" s="299"/>
      <c r="M520" s="299"/>
      <c r="N520" s="299"/>
      <c r="O520" s="299"/>
      <c r="P520" s="299"/>
      <c r="Q520" s="299"/>
      <c r="R520" s="299"/>
      <c r="S520" s="299"/>
      <c r="T520" s="299"/>
      <c r="U520" s="299"/>
      <c r="V520" s="299"/>
      <c r="W520" s="299"/>
      <c r="X520" s="299"/>
    </row>
    <row r="521" spans="1:24" s="223" customFormat="1" ht="70.5" customHeight="1" x14ac:dyDescent="0.25">
      <c r="A521" s="317" t="s">
        <v>1590</v>
      </c>
      <c r="B521" s="347" t="s">
        <v>293</v>
      </c>
      <c r="C521" s="321"/>
      <c r="D521" s="326"/>
      <c r="E521" s="327"/>
      <c r="F521" s="328"/>
      <c r="G521" s="325"/>
      <c r="I521" s="299"/>
      <c r="J521" s="299"/>
      <c r="K521" s="299"/>
      <c r="L521" s="299"/>
      <c r="M521" s="299"/>
      <c r="N521" s="299"/>
      <c r="O521" s="299"/>
      <c r="P521" s="299"/>
      <c r="Q521" s="299"/>
      <c r="R521" s="299"/>
      <c r="S521" s="299"/>
      <c r="T521" s="299"/>
      <c r="U521" s="299"/>
      <c r="V521" s="299"/>
      <c r="W521" s="299"/>
      <c r="X521" s="299"/>
    </row>
    <row r="522" spans="1:24" s="223" customFormat="1" ht="38.25" customHeight="1" x14ac:dyDescent="0.25">
      <c r="A522" s="317"/>
      <c r="B522" s="318" t="s">
        <v>2923</v>
      </c>
      <c r="C522" s="321">
        <f>35*4</f>
        <v>140</v>
      </c>
      <c r="D522" s="326" t="s">
        <v>279</v>
      </c>
      <c r="E522" s="327">
        <v>15000</v>
      </c>
      <c r="F522" s="327">
        <f>E522*C522</f>
        <v>2100000</v>
      </c>
      <c r="G522" s="329"/>
      <c r="I522" s="299"/>
      <c r="J522" s="299"/>
      <c r="K522" s="299"/>
      <c r="L522" s="299"/>
      <c r="M522" s="299"/>
      <c r="N522" s="299"/>
      <c r="O522" s="299"/>
      <c r="P522" s="299"/>
      <c r="Q522" s="299"/>
      <c r="R522" s="299"/>
      <c r="S522" s="299"/>
      <c r="T522" s="299"/>
      <c r="U522" s="299"/>
      <c r="V522" s="299"/>
      <c r="W522" s="299"/>
      <c r="X522" s="299"/>
    </row>
    <row r="523" spans="1:24" s="223" customFormat="1" ht="38.25" customHeight="1" x14ac:dyDescent="0.25">
      <c r="A523" s="317"/>
      <c r="B523" s="318" t="s">
        <v>2884</v>
      </c>
      <c r="C523" s="321">
        <v>220</v>
      </c>
      <c r="D523" s="326" t="s">
        <v>279</v>
      </c>
      <c r="E523" s="327">
        <v>15000</v>
      </c>
      <c r="F523" s="327">
        <f>E523*C523</f>
        <v>3300000</v>
      </c>
      <c r="G523" s="329"/>
      <c r="I523" s="299"/>
      <c r="J523" s="299"/>
      <c r="K523" s="299"/>
      <c r="L523" s="299"/>
      <c r="M523" s="299"/>
      <c r="N523" s="299"/>
      <c r="O523" s="299"/>
      <c r="P523" s="299"/>
      <c r="Q523" s="299"/>
      <c r="R523" s="299"/>
      <c r="S523" s="299"/>
      <c r="T523" s="299"/>
      <c r="U523" s="299"/>
      <c r="V523" s="299"/>
      <c r="W523" s="299"/>
      <c r="X523" s="299"/>
    </row>
    <row r="524" spans="1:24" s="223" customFormat="1" ht="30" x14ac:dyDescent="0.25">
      <c r="A524" s="348"/>
      <c r="B524" s="349" t="s">
        <v>2808</v>
      </c>
      <c r="C524" s="321">
        <f>35*2</f>
        <v>70</v>
      </c>
      <c r="D524" s="326" t="s">
        <v>279</v>
      </c>
      <c r="E524" s="327">
        <v>15000</v>
      </c>
      <c r="F524" s="327">
        <f>E524*C524</f>
        <v>1050000</v>
      </c>
      <c r="G524" s="323"/>
      <c r="I524" s="299"/>
      <c r="J524" s="299"/>
      <c r="K524" s="299"/>
      <c r="L524" s="299"/>
      <c r="M524" s="299"/>
      <c r="N524" s="299"/>
      <c r="O524" s="299"/>
      <c r="P524" s="299"/>
      <c r="Q524" s="299"/>
      <c r="R524" s="299"/>
      <c r="S524" s="299"/>
      <c r="T524" s="299"/>
      <c r="U524" s="299"/>
      <c r="V524" s="299"/>
      <c r="W524" s="299"/>
      <c r="X524" s="299"/>
    </row>
    <row r="525" spans="1:24" s="223" customFormat="1" x14ac:dyDescent="0.25">
      <c r="A525" s="331"/>
      <c r="B525" s="332"/>
      <c r="C525" s="345"/>
      <c r="D525" s="322"/>
      <c r="E525" s="337"/>
      <c r="F525" s="337"/>
      <c r="G525" s="329"/>
      <c r="I525" s="299"/>
      <c r="J525" s="299"/>
      <c r="K525" s="299"/>
      <c r="L525" s="299"/>
      <c r="M525" s="299"/>
      <c r="N525" s="299"/>
      <c r="O525" s="299"/>
      <c r="P525" s="299"/>
      <c r="Q525" s="299"/>
      <c r="R525" s="299"/>
      <c r="S525" s="299"/>
      <c r="T525" s="299"/>
      <c r="U525" s="299"/>
      <c r="V525" s="299"/>
      <c r="W525" s="299"/>
      <c r="X525" s="299"/>
    </row>
    <row r="526" spans="1:24" s="223" customFormat="1" ht="29.25" x14ac:dyDescent="0.25">
      <c r="A526" s="317" t="s">
        <v>1591</v>
      </c>
      <c r="B526" s="350" t="s">
        <v>1037</v>
      </c>
      <c r="C526" s="333"/>
      <c r="D526" s="322"/>
      <c r="E526" s="329"/>
      <c r="F526" s="329"/>
      <c r="G526" s="329"/>
      <c r="I526" s="299"/>
      <c r="J526" s="299"/>
      <c r="K526" s="299"/>
      <c r="L526" s="299"/>
      <c r="M526" s="299"/>
      <c r="N526" s="299"/>
      <c r="O526" s="299"/>
      <c r="P526" s="299"/>
      <c r="Q526" s="299"/>
      <c r="R526" s="299"/>
      <c r="S526" s="299"/>
      <c r="T526" s="299"/>
      <c r="U526" s="299"/>
      <c r="V526" s="299"/>
      <c r="W526" s="299"/>
      <c r="X526" s="299"/>
    </row>
    <row r="527" spans="1:24" s="223" customFormat="1" x14ac:dyDescent="0.25">
      <c r="A527" s="348"/>
      <c r="B527" s="351" t="s">
        <v>2807</v>
      </c>
      <c r="C527" s="321">
        <v>4</v>
      </c>
      <c r="D527" s="322" t="s">
        <v>110</v>
      </c>
      <c r="E527" s="352">
        <v>90000</v>
      </c>
      <c r="F527" s="353">
        <f>C527*E527</f>
        <v>360000</v>
      </c>
      <c r="G527" s="329"/>
      <c r="I527" s="299"/>
      <c r="J527" s="299"/>
      <c r="K527" s="299"/>
      <c r="L527" s="299"/>
      <c r="M527" s="299"/>
      <c r="N527" s="299"/>
      <c r="O527" s="299"/>
      <c r="P527" s="299"/>
      <c r="Q527" s="299"/>
      <c r="R527" s="299"/>
      <c r="S527" s="299"/>
      <c r="T527" s="299"/>
      <c r="U527" s="299"/>
      <c r="V527" s="299"/>
      <c r="W527" s="299"/>
      <c r="X527" s="299"/>
    </row>
    <row r="528" spans="1:24" s="223" customFormat="1" x14ac:dyDescent="0.25">
      <c r="A528" s="348"/>
      <c r="B528" s="332"/>
      <c r="C528" s="345"/>
      <c r="D528" s="344"/>
      <c r="E528" s="337"/>
      <c r="F528" s="337"/>
      <c r="G528" s="329"/>
      <c r="I528" s="299"/>
      <c r="J528" s="299"/>
      <c r="K528" s="299"/>
      <c r="L528" s="299"/>
      <c r="M528" s="299"/>
      <c r="N528" s="299"/>
      <c r="O528" s="299"/>
      <c r="P528" s="299"/>
      <c r="Q528" s="299"/>
      <c r="R528" s="299"/>
      <c r="S528" s="299"/>
      <c r="T528" s="299"/>
      <c r="U528" s="299"/>
      <c r="V528" s="299"/>
      <c r="W528" s="299"/>
      <c r="X528" s="299"/>
    </row>
    <row r="529" spans="1:24" s="223" customFormat="1" x14ac:dyDescent="0.25">
      <c r="A529" s="317" t="s">
        <v>1592</v>
      </c>
      <c r="B529" s="354" t="s">
        <v>304</v>
      </c>
      <c r="C529" s="345"/>
      <c r="D529" s="344"/>
      <c r="E529" s="337"/>
      <c r="F529" s="337"/>
      <c r="G529" s="329"/>
      <c r="I529" s="299"/>
      <c r="J529" s="299"/>
      <c r="K529" s="299"/>
      <c r="L529" s="299"/>
      <c r="M529" s="299"/>
      <c r="N529" s="299"/>
      <c r="O529" s="299"/>
      <c r="P529" s="299"/>
      <c r="Q529" s="299"/>
      <c r="R529" s="299"/>
      <c r="S529" s="299"/>
      <c r="T529" s="299"/>
      <c r="U529" s="299"/>
      <c r="V529" s="299"/>
      <c r="W529" s="299"/>
      <c r="X529" s="299"/>
    </row>
    <row r="530" spans="1:24" s="223" customFormat="1" ht="29.25" x14ac:dyDescent="0.25">
      <c r="A530" s="317" t="s">
        <v>1593</v>
      </c>
      <c r="B530" s="355" t="s">
        <v>1056</v>
      </c>
      <c r="C530" s="345"/>
      <c r="D530" s="344"/>
      <c r="E530" s="337"/>
      <c r="F530" s="337"/>
      <c r="G530" s="329"/>
      <c r="I530" s="299"/>
      <c r="J530" s="299"/>
      <c r="K530" s="299"/>
      <c r="L530" s="299"/>
      <c r="M530" s="299"/>
      <c r="N530" s="299"/>
      <c r="O530" s="299"/>
      <c r="P530" s="299"/>
      <c r="Q530" s="299"/>
      <c r="R530" s="299"/>
      <c r="S530" s="299"/>
      <c r="T530" s="299"/>
      <c r="U530" s="299"/>
      <c r="V530" s="299"/>
      <c r="W530" s="299"/>
      <c r="X530" s="299"/>
    </row>
    <row r="531" spans="1:24" s="223" customFormat="1" x14ac:dyDescent="0.25">
      <c r="A531" s="317"/>
      <c r="B531" s="329" t="s">
        <v>2804</v>
      </c>
      <c r="C531" s="345">
        <v>2</v>
      </c>
      <c r="D531" s="322" t="s">
        <v>279</v>
      </c>
      <c r="E531" s="352">
        <v>400000</v>
      </c>
      <c r="F531" s="353">
        <f>C531*E531</f>
        <v>800000</v>
      </c>
      <c r="G531" s="329"/>
      <c r="I531" s="299"/>
      <c r="J531" s="299"/>
      <c r="K531" s="299"/>
      <c r="L531" s="299"/>
      <c r="M531" s="299"/>
      <c r="N531" s="299"/>
      <c r="O531" s="299"/>
      <c r="P531" s="299"/>
      <c r="Q531" s="299"/>
      <c r="R531" s="299"/>
      <c r="S531" s="299"/>
      <c r="T531" s="299"/>
      <c r="U531" s="299"/>
      <c r="V531" s="299"/>
      <c r="W531" s="299"/>
      <c r="X531" s="299"/>
    </row>
    <row r="532" spans="1:24" s="223" customFormat="1" x14ac:dyDescent="0.25">
      <c r="A532" s="317"/>
      <c r="B532" s="329" t="s">
        <v>2805</v>
      </c>
      <c r="C532" s="345">
        <v>2</v>
      </c>
      <c r="D532" s="322" t="s">
        <v>279</v>
      </c>
      <c r="E532" s="352">
        <v>300000</v>
      </c>
      <c r="F532" s="353">
        <f>E532*C532</f>
        <v>600000</v>
      </c>
      <c r="G532" s="329"/>
      <c r="I532" s="299"/>
      <c r="J532" s="299"/>
      <c r="K532" s="299"/>
      <c r="L532" s="299"/>
      <c r="M532" s="299"/>
      <c r="N532" s="299"/>
      <c r="O532" s="299"/>
      <c r="P532" s="299"/>
      <c r="Q532" s="299"/>
      <c r="R532" s="299"/>
      <c r="S532" s="299"/>
      <c r="T532" s="299"/>
      <c r="U532" s="299"/>
      <c r="V532" s="299"/>
      <c r="W532" s="299"/>
      <c r="X532" s="299"/>
    </row>
    <row r="533" spans="1:24" s="223" customFormat="1" x14ac:dyDescent="0.25">
      <c r="A533" s="317"/>
      <c r="B533" s="329" t="s">
        <v>2806</v>
      </c>
      <c r="C533" s="345">
        <v>6</v>
      </c>
      <c r="D533" s="322" t="s">
        <v>279</v>
      </c>
      <c r="E533" s="352">
        <v>200000</v>
      </c>
      <c r="F533" s="353">
        <f>C533*E533</f>
        <v>1200000</v>
      </c>
      <c r="G533" s="329"/>
      <c r="I533" s="299"/>
      <c r="J533" s="299"/>
      <c r="K533" s="299"/>
      <c r="L533" s="299"/>
      <c r="M533" s="299"/>
      <c r="N533" s="299"/>
      <c r="O533" s="299"/>
      <c r="P533" s="299"/>
      <c r="Q533" s="299"/>
      <c r="R533" s="299"/>
      <c r="S533" s="299"/>
      <c r="T533" s="299"/>
      <c r="U533" s="299"/>
      <c r="V533" s="299"/>
      <c r="W533" s="299"/>
      <c r="X533" s="299"/>
    </row>
    <row r="534" spans="1:24" s="223" customFormat="1" x14ac:dyDescent="0.25">
      <c r="A534" s="317" t="s">
        <v>1594</v>
      </c>
      <c r="B534" s="356" t="s">
        <v>304</v>
      </c>
      <c r="C534" s="345"/>
      <c r="D534" s="344"/>
      <c r="E534" s="337"/>
      <c r="F534" s="337"/>
      <c r="G534" s="329"/>
      <c r="I534" s="299"/>
      <c r="J534" s="299"/>
      <c r="K534" s="299"/>
      <c r="L534" s="299"/>
      <c r="M534" s="299"/>
      <c r="N534" s="299"/>
      <c r="O534" s="299"/>
      <c r="P534" s="299"/>
      <c r="Q534" s="299"/>
      <c r="R534" s="299"/>
      <c r="S534" s="299"/>
      <c r="T534" s="299"/>
      <c r="U534" s="299"/>
      <c r="V534" s="299"/>
      <c r="W534" s="299"/>
      <c r="X534" s="299"/>
    </row>
    <row r="535" spans="1:24" s="223" customFormat="1" x14ac:dyDescent="0.25">
      <c r="A535" s="357"/>
      <c r="B535" s="358" t="s">
        <v>2803</v>
      </c>
      <c r="C535" s="345">
        <v>6</v>
      </c>
      <c r="D535" s="344" t="s">
        <v>279</v>
      </c>
      <c r="E535" s="337">
        <v>300000</v>
      </c>
      <c r="F535" s="337">
        <f>E535*C535</f>
        <v>1800000</v>
      </c>
      <c r="G535" s="329"/>
      <c r="I535" s="299"/>
      <c r="J535" s="299"/>
      <c r="K535" s="299"/>
      <c r="L535" s="299"/>
      <c r="M535" s="299"/>
      <c r="N535" s="299"/>
      <c r="O535" s="299"/>
      <c r="P535" s="299"/>
      <c r="Q535" s="299"/>
      <c r="R535" s="299"/>
      <c r="S535" s="299"/>
      <c r="T535" s="299"/>
      <c r="U535" s="299"/>
      <c r="V535" s="299"/>
      <c r="W535" s="299"/>
      <c r="X535" s="299"/>
    </row>
    <row r="536" spans="1:24" s="223" customFormat="1" x14ac:dyDescent="0.25">
      <c r="A536" s="357"/>
      <c r="B536" s="358"/>
      <c r="C536" s="345"/>
      <c r="D536" s="344"/>
      <c r="E536" s="337"/>
      <c r="F536" s="337"/>
      <c r="G536" s="329"/>
      <c r="I536" s="299"/>
      <c r="J536" s="299"/>
      <c r="K536" s="299"/>
      <c r="L536" s="299"/>
      <c r="M536" s="299"/>
      <c r="N536" s="299"/>
      <c r="O536" s="299"/>
      <c r="P536" s="299"/>
      <c r="Q536" s="299"/>
      <c r="R536" s="299"/>
      <c r="S536" s="299"/>
      <c r="T536" s="299"/>
      <c r="U536" s="299"/>
      <c r="V536" s="299"/>
      <c r="W536" s="299"/>
      <c r="X536" s="299"/>
    </row>
    <row r="537" spans="1:24" s="223" customFormat="1" x14ac:dyDescent="0.25">
      <c r="A537" s="359"/>
      <c r="B537" s="332"/>
      <c r="C537" s="345"/>
      <c r="D537" s="344"/>
      <c r="E537" s="337"/>
      <c r="F537" s="337"/>
      <c r="G537" s="329"/>
      <c r="I537" s="299"/>
      <c r="J537" s="299"/>
      <c r="K537" s="299"/>
      <c r="L537" s="299"/>
      <c r="M537" s="299"/>
      <c r="N537" s="299"/>
      <c r="O537" s="299"/>
      <c r="P537" s="299"/>
      <c r="Q537" s="299"/>
      <c r="R537" s="299"/>
      <c r="S537" s="299"/>
      <c r="T537" s="299"/>
      <c r="U537" s="299"/>
      <c r="V537" s="299"/>
      <c r="W537" s="299"/>
      <c r="X537" s="299"/>
    </row>
    <row r="538" spans="1:24" s="223" customFormat="1" ht="30" x14ac:dyDescent="0.25">
      <c r="A538" s="336"/>
      <c r="B538" s="1827" t="s">
        <v>26</v>
      </c>
      <c r="C538" s="1827"/>
      <c r="D538" s="1827"/>
      <c r="E538" s="1828"/>
      <c r="F538" s="337">
        <f>SUM(F519:F537)</f>
        <v>11505000</v>
      </c>
      <c r="G538" s="332" t="s">
        <v>2570</v>
      </c>
      <c r="I538" s="299"/>
      <c r="J538" s="299"/>
      <c r="K538" s="299"/>
      <c r="L538" s="299"/>
      <c r="M538" s="299"/>
      <c r="N538" s="299"/>
      <c r="O538" s="299"/>
      <c r="P538" s="299"/>
      <c r="Q538" s="299"/>
      <c r="R538" s="299"/>
      <c r="S538" s="299">
        <f>F538</f>
        <v>11505000</v>
      </c>
      <c r="T538" s="299"/>
      <c r="U538" s="299"/>
      <c r="V538" s="299"/>
      <c r="W538" s="299"/>
      <c r="X538" s="299"/>
    </row>
    <row r="539" spans="1:24" x14ac:dyDescent="0.25">
      <c r="A539" s="1762" t="s">
        <v>549</v>
      </c>
      <c r="B539" s="1762"/>
      <c r="C539" s="188" t="s">
        <v>27</v>
      </c>
      <c r="D539" s="1763" t="s">
        <v>1426</v>
      </c>
      <c r="E539" s="1763"/>
      <c r="F539" s="1763"/>
      <c r="G539" s="188"/>
    </row>
    <row r="540" spans="1:24" x14ac:dyDescent="0.25">
      <c r="A540" s="1762" t="s">
        <v>28</v>
      </c>
      <c r="B540" s="1762"/>
      <c r="C540" s="188"/>
      <c r="D540" s="1764" t="s">
        <v>2832</v>
      </c>
      <c r="E540" s="1764"/>
      <c r="F540" s="1764"/>
      <c r="G540" s="188"/>
      <c r="H540" s="36"/>
    </row>
    <row r="541" spans="1:24" x14ac:dyDescent="0.25">
      <c r="A541" s="186"/>
      <c r="B541" s="187"/>
      <c r="C541" s="188"/>
      <c r="D541" s="189"/>
      <c r="E541" s="218"/>
      <c r="F541" s="218"/>
      <c r="G541" s="188"/>
    </row>
    <row r="542" spans="1:24" x14ac:dyDescent="0.25">
      <c r="A542" s="186"/>
      <c r="B542" s="187"/>
      <c r="C542" s="188"/>
      <c r="D542" s="189"/>
      <c r="E542" s="218"/>
      <c r="F542" s="218"/>
      <c r="G542" s="188"/>
    </row>
    <row r="543" spans="1:24" x14ac:dyDescent="0.25">
      <c r="A543" s="1762"/>
      <c r="B543" s="1762"/>
      <c r="C543" s="188"/>
      <c r="D543" s="189"/>
      <c r="E543" s="1762"/>
      <c r="F543" s="1762"/>
      <c r="G543" s="188"/>
    </row>
    <row r="544" spans="1:24" x14ac:dyDescent="0.25">
      <c r="A544" s="1762" t="s">
        <v>29</v>
      </c>
      <c r="B544" s="1762"/>
      <c r="C544" s="188"/>
      <c r="D544" s="1762" t="s">
        <v>2989</v>
      </c>
      <c r="E544" s="1762"/>
      <c r="F544" s="1762"/>
      <c r="G544" s="188"/>
    </row>
    <row r="546" spans="1:7" x14ac:dyDescent="0.25">
      <c r="A546" s="1765" t="s">
        <v>0</v>
      </c>
      <c r="B546" s="1765"/>
      <c r="C546" s="1765"/>
      <c r="D546" s="1765"/>
      <c r="E546" s="1765"/>
      <c r="F546" s="1765"/>
      <c r="G546" s="185"/>
    </row>
    <row r="547" spans="1:7" x14ac:dyDescent="0.25">
      <c r="A547" s="1765" t="s">
        <v>1</v>
      </c>
      <c r="B547" s="1765"/>
      <c r="C547" s="1765"/>
      <c r="D547" s="1765"/>
      <c r="E547" s="1765"/>
      <c r="F547" s="1765"/>
      <c r="G547" s="185"/>
    </row>
    <row r="548" spans="1:7" x14ac:dyDescent="0.25">
      <c r="A548" s="1765" t="s">
        <v>1769</v>
      </c>
      <c r="B548" s="1765"/>
      <c r="C548" s="1765"/>
      <c r="D548" s="1765"/>
      <c r="E548" s="1765"/>
      <c r="F548" s="1765"/>
      <c r="G548" s="185"/>
    </row>
    <row r="549" spans="1:7" x14ac:dyDescent="0.25">
      <c r="A549" s="184"/>
      <c r="B549" s="184"/>
      <c r="C549" s="184"/>
      <c r="D549" s="184"/>
      <c r="E549" s="184"/>
      <c r="F549" s="184"/>
      <c r="G549" s="185"/>
    </row>
    <row r="550" spans="1:7" x14ac:dyDescent="0.25">
      <c r="A550" s="186" t="s">
        <v>246</v>
      </c>
      <c r="B550" s="187" t="s">
        <v>3</v>
      </c>
      <c r="C550" s="188"/>
      <c r="D550" s="189"/>
      <c r="E550" s="190"/>
      <c r="F550" s="191"/>
      <c r="G550" s="188"/>
    </row>
    <row r="551" spans="1:7" ht="36.75" x14ac:dyDescent="0.25">
      <c r="A551" s="192" t="s">
        <v>247</v>
      </c>
      <c r="B551" s="187" t="s">
        <v>5</v>
      </c>
      <c r="C551" s="188"/>
      <c r="D551" s="189"/>
      <c r="E551" s="227" t="s">
        <v>6</v>
      </c>
      <c r="F551" s="191"/>
      <c r="G551" s="188"/>
    </row>
    <row r="552" spans="1:7" ht="24.75" x14ac:dyDescent="0.25">
      <c r="A552" s="192" t="s">
        <v>7</v>
      </c>
      <c r="B552" s="187" t="s">
        <v>1549</v>
      </c>
      <c r="C552" s="188"/>
      <c r="D552" s="189"/>
      <c r="E552" s="195" t="s">
        <v>9</v>
      </c>
      <c r="F552" s="196"/>
      <c r="G552" s="188"/>
    </row>
    <row r="553" spans="1:7" x14ac:dyDescent="0.25">
      <c r="A553" s="221" t="s">
        <v>37</v>
      </c>
      <c r="B553" s="187"/>
      <c r="C553" s="188"/>
      <c r="D553" s="189"/>
      <c r="E553" s="190"/>
      <c r="F553" s="191"/>
      <c r="G553" s="188"/>
    </row>
    <row r="554" spans="1:7" x14ac:dyDescent="0.25">
      <c r="A554" s="192" t="s">
        <v>10</v>
      </c>
      <c r="B554" s="187"/>
      <c r="C554" s="188"/>
      <c r="D554" s="189"/>
      <c r="E554" s="190"/>
      <c r="F554" s="191"/>
      <c r="G554" s="188"/>
    </row>
    <row r="555" spans="1:7" x14ac:dyDescent="0.25">
      <c r="A555" s="192"/>
      <c r="B555" s="187"/>
      <c r="C555" s="188"/>
      <c r="D555" s="189"/>
      <c r="E555" s="190"/>
      <c r="F555" s="191"/>
      <c r="G555" s="188"/>
    </row>
    <row r="556" spans="1:7" ht="24" x14ac:dyDescent="0.25">
      <c r="A556" s="197" t="s">
        <v>30</v>
      </c>
      <c r="B556" s="198" t="s">
        <v>31</v>
      </c>
      <c r="C556" s="1773" t="s">
        <v>12</v>
      </c>
      <c r="D556" s="1774"/>
      <c r="E556" s="198" t="s">
        <v>32</v>
      </c>
      <c r="F556" s="199" t="s">
        <v>33</v>
      </c>
      <c r="G556" s="197" t="s">
        <v>34</v>
      </c>
    </row>
    <row r="557" spans="1:7" x14ac:dyDescent="0.25">
      <c r="A557" s="200">
        <v>1</v>
      </c>
      <c r="B557" s="200">
        <v>2</v>
      </c>
      <c r="C557" s="1789">
        <v>3</v>
      </c>
      <c r="D557" s="1789"/>
      <c r="E557" s="201">
        <v>4</v>
      </c>
      <c r="F557" s="202">
        <v>5</v>
      </c>
      <c r="G557" s="202">
        <v>6</v>
      </c>
    </row>
    <row r="558" spans="1:7" x14ac:dyDescent="0.25">
      <c r="A558" s="203" t="s">
        <v>1550</v>
      </c>
      <c r="B558" s="360" t="s">
        <v>250</v>
      </c>
      <c r="C558" s="205"/>
      <c r="D558" s="283"/>
      <c r="E558" s="259"/>
      <c r="F558" s="239"/>
      <c r="G558" s="207"/>
    </row>
    <row r="559" spans="1:7" ht="24" x14ac:dyDescent="0.25">
      <c r="A559" s="203" t="s">
        <v>1551</v>
      </c>
      <c r="B559" s="360" t="s">
        <v>1552</v>
      </c>
      <c r="C559" s="205"/>
      <c r="D559" s="283"/>
      <c r="E559" s="259"/>
      <c r="F559" s="239"/>
      <c r="G559" s="217"/>
    </row>
    <row r="560" spans="1:7" x14ac:dyDescent="0.25">
      <c r="A560" s="203" t="s">
        <v>1558</v>
      </c>
      <c r="B560" s="361" t="s">
        <v>1553</v>
      </c>
      <c r="C560" s="205"/>
      <c r="D560" s="206"/>
      <c r="E560" s="259"/>
      <c r="F560" s="239"/>
      <c r="G560" s="197"/>
    </row>
    <row r="561" spans="1:11" ht="24" x14ac:dyDescent="0.25">
      <c r="A561" s="203"/>
      <c r="B561" s="238" t="s">
        <v>1557</v>
      </c>
      <c r="C561" s="205">
        <v>12</v>
      </c>
      <c r="D561" s="206" t="s">
        <v>21</v>
      </c>
      <c r="E561" s="259">
        <v>188000</v>
      </c>
      <c r="F561" s="239">
        <f>E561*C561</f>
        <v>2256000</v>
      </c>
      <c r="G561" s="197"/>
      <c r="H561" s="32"/>
    </row>
    <row r="562" spans="1:11" ht="24" x14ac:dyDescent="0.25">
      <c r="A562" s="203"/>
      <c r="B562" s="238" t="s">
        <v>1556</v>
      </c>
      <c r="C562" s="205">
        <v>12</v>
      </c>
      <c r="D562" s="206" t="s">
        <v>21</v>
      </c>
      <c r="E562" s="259">
        <v>172000</v>
      </c>
      <c r="F562" s="239">
        <f t="shared" ref="F562:F569" si="10">E562*C562</f>
        <v>2064000</v>
      </c>
      <c r="G562" s="197"/>
      <c r="H562" s="32"/>
    </row>
    <row r="563" spans="1:11" ht="24" x14ac:dyDescent="0.25">
      <c r="A563" s="203"/>
      <c r="B563" s="238" t="s">
        <v>1555</v>
      </c>
      <c r="C563" s="205">
        <v>12</v>
      </c>
      <c r="D563" s="206" t="s">
        <v>21</v>
      </c>
      <c r="E563" s="259">
        <v>156000</v>
      </c>
      <c r="F563" s="239">
        <f t="shared" si="10"/>
        <v>1872000</v>
      </c>
      <c r="G563" s="197"/>
      <c r="H563" s="32"/>
    </row>
    <row r="564" spans="1:11" ht="24.75" x14ac:dyDescent="0.25">
      <c r="A564" s="229"/>
      <c r="B564" s="213" t="s">
        <v>1554</v>
      </c>
      <c r="C564" s="214">
        <f>6*12</f>
        <v>72</v>
      </c>
      <c r="D564" s="206" t="s">
        <v>21</v>
      </c>
      <c r="E564" s="215">
        <v>132000</v>
      </c>
      <c r="F564" s="239">
        <f t="shared" si="10"/>
        <v>9504000</v>
      </c>
      <c r="G564" s="217"/>
    </row>
    <row r="565" spans="1:11" x14ac:dyDescent="0.25">
      <c r="A565" s="203" t="s">
        <v>1559</v>
      </c>
      <c r="B565" s="362" t="s">
        <v>1560</v>
      </c>
      <c r="C565" s="243"/>
      <c r="D565" s="206"/>
      <c r="E565" s="217"/>
      <c r="F565" s="239"/>
      <c r="G565" s="217"/>
    </row>
    <row r="566" spans="1:11" ht="24" x14ac:dyDescent="0.25">
      <c r="A566" s="203"/>
      <c r="B566" s="238" t="s">
        <v>1561</v>
      </c>
      <c r="C566" s="205">
        <v>12</v>
      </c>
      <c r="D566" s="206" t="s">
        <v>21</v>
      </c>
      <c r="E566" s="230">
        <v>293280</v>
      </c>
      <c r="F566" s="239">
        <f t="shared" si="10"/>
        <v>3519360</v>
      </c>
      <c r="G566" s="217"/>
      <c r="H566" s="83"/>
    </row>
    <row r="567" spans="1:11" ht="24" x14ac:dyDescent="0.25">
      <c r="A567" s="203"/>
      <c r="B567" s="238" t="s">
        <v>1562</v>
      </c>
      <c r="C567" s="205">
        <v>12</v>
      </c>
      <c r="D567" s="206" t="s">
        <v>21</v>
      </c>
      <c r="E567" s="230">
        <v>268320</v>
      </c>
      <c r="F567" s="239">
        <f t="shared" si="10"/>
        <v>3219840</v>
      </c>
      <c r="G567" s="217"/>
      <c r="H567" s="1542"/>
    </row>
    <row r="568" spans="1:11" ht="24" x14ac:dyDescent="0.25">
      <c r="A568" s="203"/>
      <c r="B568" s="238" t="s">
        <v>1563</v>
      </c>
      <c r="C568" s="205">
        <v>12</v>
      </c>
      <c r="D568" s="206" t="s">
        <v>21</v>
      </c>
      <c r="E568" s="230">
        <v>243360</v>
      </c>
      <c r="F568" s="239">
        <f t="shared" si="10"/>
        <v>2920320</v>
      </c>
      <c r="G568" s="217"/>
      <c r="H568" s="1542"/>
    </row>
    <row r="569" spans="1:11" ht="24.75" x14ac:dyDescent="0.25">
      <c r="A569" s="203"/>
      <c r="B569" s="213" t="s">
        <v>1564</v>
      </c>
      <c r="C569" s="214">
        <f>6*12</f>
        <v>72</v>
      </c>
      <c r="D569" s="206" t="s">
        <v>21</v>
      </c>
      <c r="E569" s="230">
        <v>205920</v>
      </c>
      <c r="F569" s="239">
        <f t="shared" si="10"/>
        <v>14826240</v>
      </c>
      <c r="G569" s="217"/>
    </row>
    <row r="570" spans="1:11" x14ac:dyDescent="0.25">
      <c r="A570" s="297"/>
      <c r="B570" s="1794" t="s">
        <v>26</v>
      </c>
      <c r="C570" s="1794"/>
      <c r="D570" s="1794"/>
      <c r="E570" s="1795"/>
      <c r="F570" s="215">
        <f>SUM(F561:F569)</f>
        <v>40181760</v>
      </c>
      <c r="G570" s="217" t="s">
        <v>1845</v>
      </c>
      <c r="K570" s="36">
        <f>F570</f>
        <v>40181760</v>
      </c>
    </row>
    <row r="572" spans="1:11" x14ac:dyDescent="0.25">
      <c r="A572" s="1762" t="s">
        <v>549</v>
      </c>
      <c r="B572" s="1762"/>
      <c r="C572" s="188" t="s">
        <v>27</v>
      </c>
      <c r="D572" s="1763" t="s">
        <v>1426</v>
      </c>
      <c r="E572" s="1763"/>
      <c r="F572" s="1763"/>
      <c r="G572" s="188"/>
    </row>
    <row r="573" spans="1:11" x14ac:dyDescent="0.25">
      <c r="A573" s="1762" t="s">
        <v>28</v>
      </c>
      <c r="B573" s="1762"/>
      <c r="C573" s="188"/>
      <c r="D573" s="1764" t="s">
        <v>2832</v>
      </c>
      <c r="E573" s="1764"/>
      <c r="F573" s="1764"/>
      <c r="G573" s="188"/>
      <c r="H573" s="36"/>
    </row>
    <row r="574" spans="1:11" x14ac:dyDescent="0.25">
      <c r="A574" s="186"/>
      <c r="B574" s="187"/>
      <c r="C574" s="188"/>
      <c r="D574" s="189"/>
      <c r="E574" s="218"/>
      <c r="F574" s="218"/>
      <c r="G574" s="188"/>
    </row>
    <row r="575" spans="1:11" x14ac:dyDescent="0.25">
      <c r="A575" s="186"/>
      <c r="B575" s="187"/>
      <c r="C575" s="188"/>
      <c r="D575" s="189"/>
      <c r="E575" s="218"/>
      <c r="F575" s="218"/>
      <c r="G575" s="188"/>
    </row>
    <row r="576" spans="1:11" x14ac:dyDescent="0.25">
      <c r="A576" s="1762"/>
      <c r="B576" s="1762"/>
      <c r="C576" s="188"/>
      <c r="D576" s="189"/>
      <c r="E576" s="1762"/>
      <c r="F576" s="1762"/>
      <c r="G576" s="188"/>
    </row>
    <row r="577" spans="1:8" x14ac:dyDescent="0.25">
      <c r="A577" s="1762" t="s">
        <v>29</v>
      </c>
      <c r="B577" s="1762"/>
      <c r="C577" s="188"/>
      <c r="D577" s="1762" t="s">
        <v>2989</v>
      </c>
      <c r="E577" s="1762"/>
      <c r="F577" s="1762"/>
      <c r="G577" s="188"/>
    </row>
    <row r="578" spans="1:8" x14ac:dyDescent="0.25">
      <c r="A578" s="1765" t="s">
        <v>0</v>
      </c>
      <c r="B578" s="1765"/>
      <c r="C578" s="1765"/>
      <c r="D578" s="1765"/>
      <c r="E578" s="1765"/>
      <c r="F578" s="1765"/>
      <c r="G578" s="185"/>
    </row>
    <row r="579" spans="1:8" x14ac:dyDescent="0.25">
      <c r="A579" s="1765" t="s">
        <v>1</v>
      </c>
      <c r="B579" s="1765"/>
      <c r="C579" s="1765"/>
      <c r="D579" s="1765"/>
      <c r="E579" s="1765"/>
      <c r="F579" s="1765"/>
      <c r="G579" s="185"/>
    </row>
    <row r="580" spans="1:8" x14ac:dyDescent="0.25">
      <c r="A580" s="1765" t="s">
        <v>1769</v>
      </c>
      <c r="B580" s="1765"/>
      <c r="C580" s="1765"/>
      <c r="D580" s="1765"/>
      <c r="E580" s="1765"/>
      <c r="F580" s="1765"/>
      <c r="G580" s="185"/>
    </row>
    <row r="581" spans="1:8" x14ac:dyDescent="0.25">
      <c r="A581" s="184"/>
      <c r="B581" s="184"/>
      <c r="C581" s="184"/>
      <c r="D581" s="184"/>
      <c r="E581" s="184"/>
      <c r="F581" s="184"/>
      <c r="G581" s="185"/>
    </row>
    <row r="582" spans="1:8" x14ac:dyDescent="0.25">
      <c r="A582" s="186" t="s">
        <v>246</v>
      </c>
      <c r="B582" s="187" t="s">
        <v>3</v>
      </c>
      <c r="C582" s="188"/>
      <c r="D582" s="189"/>
      <c r="E582" s="190"/>
      <c r="F582" s="191"/>
      <c r="G582" s="188"/>
    </row>
    <row r="583" spans="1:8" ht="36.75" x14ac:dyDescent="0.25">
      <c r="A583" s="192" t="s">
        <v>247</v>
      </c>
      <c r="B583" s="187" t="s">
        <v>5</v>
      </c>
      <c r="C583" s="188"/>
      <c r="D583" s="189"/>
      <c r="E583" s="227" t="s">
        <v>6</v>
      </c>
      <c r="F583" s="191"/>
      <c r="G583" s="188"/>
    </row>
    <row r="584" spans="1:8" ht="24.75" x14ac:dyDescent="0.25">
      <c r="A584" s="192" t="s">
        <v>7</v>
      </c>
      <c r="B584" s="187" t="s">
        <v>1565</v>
      </c>
      <c r="C584" s="188"/>
      <c r="D584" s="189"/>
      <c r="E584" s="195" t="s">
        <v>9</v>
      </c>
      <c r="F584" s="196"/>
      <c r="G584" s="188"/>
    </row>
    <row r="585" spans="1:8" x14ac:dyDescent="0.25">
      <c r="A585" s="221" t="s">
        <v>37</v>
      </c>
      <c r="B585" s="187"/>
      <c r="C585" s="188"/>
      <c r="D585" s="189"/>
      <c r="E585" s="190"/>
      <c r="F585" s="191"/>
      <c r="G585" s="188"/>
    </row>
    <row r="586" spans="1:8" x14ac:dyDescent="0.25">
      <c r="A586" s="192" t="s">
        <v>10</v>
      </c>
      <c r="B586" s="187"/>
      <c r="C586" s="188"/>
      <c r="D586" s="189"/>
      <c r="E586" s="190"/>
      <c r="F586" s="191"/>
      <c r="G586" s="188"/>
    </row>
    <row r="587" spans="1:8" x14ac:dyDescent="0.25">
      <c r="A587" s="192"/>
      <c r="B587" s="187"/>
      <c r="C587" s="188"/>
      <c r="D587" s="189"/>
      <c r="E587" s="190"/>
      <c r="F587" s="191"/>
      <c r="G587" s="188"/>
    </row>
    <row r="588" spans="1:8" ht="24" x14ac:dyDescent="0.25">
      <c r="A588" s="197" t="s">
        <v>30</v>
      </c>
      <c r="B588" s="198" t="s">
        <v>31</v>
      </c>
      <c r="C588" s="1773" t="s">
        <v>12</v>
      </c>
      <c r="D588" s="1774"/>
      <c r="E588" s="198" t="s">
        <v>32</v>
      </c>
      <c r="F588" s="199" t="s">
        <v>33</v>
      </c>
      <c r="G588" s="197" t="s">
        <v>34</v>
      </c>
      <c r="H588" s="83"/>
    </row>
    <row r="589" spans="1:8" x14ac:dyDescent="0.25">
      <c r="A589" s="200">
        <v>1</v>
      </c>
      <c r="B589" s="200">
        <v>2</v>
      </c>
      <c r="C589" s="1789">
        <v>3</v>
      </c>
      <c r="D589" s="1789"/>
      <c r="E589" s="201">
        <v>4</v>
      </c>
      <c r="F589" s="202">
        <v>5</v>
      </c>
      <c r="G589" s="202">
        <v>6</v>
      </c>
      <c r="H589" s="83"/>
    </row>
    <row r="590" spans="1:8" x14ac:dyDescent="0.25">
      <c r="A590" s="203" t="s">
        <v>1550</v>
      </c>
      <c r="B590" s="360" t="s">
        <v>250</v>
      </c>
      <c r="C590" s="205"/>
      <c r="D590" s="283"/>
      <c r="E590" s="259"/>
      <c r="F590" s="239"/>
      <c r="G590" s="207"/>
      <c r="H590" s="83"/>
    </row>
    <row r="591" spans="1:8" ht="24" x14ac:dyDescent="0.25">
      <c r="A591" s="203" t="s">
        <v>1836</v>
      </c>
      <c r="B591" s="360" t="s">
        <v>1552</v>
      </c>
      <c r="C591" s="205"/>
      <c r="D591" s="283"/>
      <c r="E591" s="259"/>
      <c r="F591" s="239"/>
      <c r="G591" s="217"/>
      <c r="H591" s="83"/>
    </row>
    <row r="592" spans="1:8" x14ac:dyDescent="0.25">
      <c r="A592" s="203" t="s">
        <v>1837</v>
      </c>
      <c r="B592" s="361" t="s">
        <v>1570</v>
      </c>
      <c r="C592" s="205"/>
      <c r="D592" s="206"/>
      <c r="E592" s="259"/>
      <c r="F592" s="239"/>
      <c r="G592" s="197"/>
      <c r="H592" s="83"/>
    </row>
    <row r="593" spans="1:11" ht="24" x14ac:dyDescent="0.25">
      <c r="A593" s="203"/>
      <c r="B593" s="238" t="s">
        <v>2651</v>
      </c>
      <c r="C593" s="205">
        <f>9*12</f>
        <v>108</v>
      </c>
      <c r="D593" s="206" t="s">
        <v>21</v>
      </c>
      <c r="E593" s="215">
        <v>131924.66</v>
      </c>
      <c r="F593" s="239">
        <f t="shared" ref="F593:F598" si="11">E593*C593</f>
        <v>14247863.280000001</v>
      </c>
      <c r="G593" s="197"/>
      <c r="H593" s="83"/>
    </row>
    <row r="594" spans="1:11" x14ac:dyDescent="0.25">
      <c r="A594" s="203"/>
      <c r="B594" s="238" t="s">
        <v>1566</v>
      </c>
      <c r="C594" s="205">
        <v>12</v>
      </c>
      <c r="D594" s="206" t="s">
        <v>21</v>
      </c>
      <c r="E594" s="215">
        <v>136000</v>
      </c>
      <c r="F594" s="239">
        <f t="shared" si="11"/>
        <v>1632000</v>
      </c>
      <c r="G594" s="197"/>
      <c r="H594" s="83"/>
    </row>
    <row r="595" spans="1:11" ht="24" x14ac:dyDescent="0.25">
      <c r="A595" s="203"/>
      <c r="B595" s="238" t="s">
        <v>1567</v>
      </c>
      <c r="C595" s="205">
        <v>12</v>
      </c>
      <c r="D595" s="206" t="s">
        <v>21</v>
      </c>
      <c r="E595" s="215">
        <v>136000</v>
      </c>
      <c r="F595" s="239">
        <f t="shared" si="11"/>
        <v>1632000</v>
      </c>
      <c r="G595" s="197"/>
      <c r="H595" s="83"/>
    </row>
    <row r="596" spans="1:11" ht="24.75" x14ac:dyDescent="0.25">
      <c r="A596" s="229"/>
      <c r="B596" s="213" t="s">
        <v>1838</v>
      </c>
      <c r="C596" s="214">
        <v>12</v>
      </c>
      <c r="D596" s="206" t="s">
        <v>21</v>
      </c>
      <c r="E596" s="215">
        <v>131924.66</v>
      </c>
      <c r="F596" s="239">
        <f t="shared" si="11"/>
        <v>1583095.92</v>
      </c>
      <c r="G596" s="217"/>
      <c r="H596" s="83"/>
    </row>
    <row r="597" spans="1:11" x14ac:dyDescent="0.25">
      <c r="A597" s="250"/>
      <c r="B597" s="213" t="s">
        <v>1568</v>
      </c>
      <c r="C597" s="214">
        <v>12</v>
      </c>
      <c r="D597" s="206" t="s">
        <v>21</v>
      </c>
      <c r="E597" s="215">
        <v>131924.66</v>
      </c>
      <c r="F597" s="239">
        <f t="shared" si="11"/>
        <v>1583095.92</v>
      </c>
      <c r="G597" s="217"/>
      <c r="H597" s="83"/>
    </row>
    <row r="598" spans="1:11" ht="24.75" x14ac:dyDescent="0.25">
      <c r="A598" s="250"/>
      <c r="B598" s="213" t="s">
        <v>1569</v>
      </c>
      <c r="C598" s="214">
        <f>2*12</f>
        <v>24</v>
      </c>
      <c r="D598" s="206" t="s">
        <v>21</v>
      </c>
      <c r="E598" s="215">
        <v>131924.66</v>
      </c>
      <c r="F598" s="239">
        <f t="shared" si="11"/>
        <v>3166191.84</v>
      </c>
      <c r="G598" s="217"/>
    </row>
    <row r="599" spans="1:11" x14ac:dyDescent="0.25">
      <c r="A599" s="203" t="s">
        <v>1837</v>
      </c>
      <c r="B599" s="361" t="s">
        <v>1839</v>
      </c>
      <c r="C599" s="214"/>
      <c r="D599" s="206"/>
      <c r="E599" s="215"/>
      <c r="F599" s="239"/>
      <c r="G599" s="217"/>
    </row>
    <row r="600" spans="1:11" ht="24" x14ac:dyDescent="0.25">
      <c r="A600" s="229"/>
      <c r="B600" s="238" t="s">
        <v>2836</v>
      </c>
      <c r="C600" s="205">
        <f>9*12</f>
        <v>108</v>
      </c>
      <c r="D600" s="206" t="s">
        <v>21</v>
      </c>
      <c r="E600" s="215">
        <v>17809.830000000002</v>
      </c>
      <c r="F600" s="239">
        <f t="shared" ref="F600:F605" si="12">E600*C600</f>
        <v>1923461.6400000001</v>
      </c>
      <c r="G600" s="217"/>
      <c r="H600" s="3"/>
    </row>
    <row r="601" spans="1:11" ht="24" x14ac:dyDescent="0.25">
      <c r="A601" s="229"/>
      <c r="B601" s="238" t="s">
        <v>1840</v>
      </c>
      <c r="C601" s="205">
        <v>12</v>
      </c>
      <c r="D601" s="206" t="s">
        <v>21</v>
      </c>
      <c r="E601" s="215">
        <v>18360</v>
      </c>
      <c r="F601" s="239">
        <f t="shared" si="12"/>
        <v>220320</v>
      </c>
      <c r="G601" s="217"/>
      <c r="H601" s="3"/>
    </row>
    <row r="602" spans="1:11" ht="24" x14ac:dyDescent="0.25">
      <c r="A602" s="229"/>
      <c r="B602" s="238" t="s">
        <v>1841</v>
      </c>
      <c r="C602" s="205">
        <v>12</v>
      </c>
      <c r="D602" s="206" t="s">
        <v>21</v>
      </c>
      <c r="E602" s="215">
        <v>18360</v>
      </c>
      <c r="F602" s="239">
        <f t="shared" si="12"/>
        <v>220320</v>
      </c>
      <c r="G602" s="217"/>
    </row>
    <row r="603" spans="1:11" ht="24.75" x14ac:dyDescent="0.25">
      <c r="A603" s="229"/>
      <c r="B603" s="213" t="s">
        <v>1842</v>
      </c>
      <c r="C603" s="214">
        <v>12</v>
      </c>
      <c r="D603" s="206" t="s">
        <v>21</v>
      </c>
      <c r="E603" s="215">
        <v>17809.830000000002</v>
      </c>
      <c r="F603" s="239">
        <f t="shared" si="12"/>
        <v>213717.96000000002</v>
      </c>
      <c r="G603" s="217"/>
    </row>
    <row r="604" spans="1:11" ht="24.75" x14ac:dyDescent="0.25">
      <c r="A604" s="229"/>
      <c r="B604" s="213" t="s">
        <v>1843</v>
      </c>
      <c r="C604" s="214">
        <v>12</v>
      </c>
      <c r="D604" s="206" t="s">
        <v>21</v>
      </c>
      <c r="E604" s="215">
        <v>17809.830000000002</v>
      </c>
      <c r="F604" s="239">
        <f t="shared" si="12"/>
        <v>213717.96000000002</v>
      </c>
      <c r="G604" s="217"/>
    </row>
    <row r="605" spans="1:11" ht="24.75" x14ac:dyDescent="0.25">
      <c r="A605" s="229"/>
      <c r="B605" s="213" t="s">
        <v>1844</v>
      </c>
      <c r="C605" s="214">
        <f>2*12</f>
        <v>24</v>
      </c>
      <c r="D605" s="206" t="s">
        <v>21</v>
      </c>
      <c r="E605" s="215">
        <v>17809.830000000002</v>
      </c>
      <c r="F605" s="239">
        <f t="shared" si="12"/>
        <v>427435.92000000004</v>
      </c>
      <c r="G605" s="217"/>
    </row>
    <row r="606" spans="1:11" x14ac:dyDescent="0.25">
      <c r="A606" s="297"/>
      <c r="B606" s="1794" t="s">
        <v>26</v>
      </c>
      <c r="C606" s="1794"/>
      <c r="D606" s="1794"/>
      <c r="E606" s="1795"/>
      <c r="F606" s="215">
        <f>SUM(F593:F605)</f>
        <v>27063220.440000009</v>
      </c>
      <c r="G606" s="217" t="s">
        <v>1845</v>
      </c>
      <c r="K606" s="36">
        <f>F606</f>
        <v>27063220.440000009</v>
      </c>
    </row>
    <row r="608" spans="1:11" x14ac:dyDescent="0.25">
      <c r="A608" s="1762" t="s">
        <v>549</v>
      </c>
      <c r="B608" s="1762"/>
      <c r="C608" s="188" t="s">
        <v>27</v>
      </c>
      <c r="D608" s="1763" t="s">
        <v>1426</v>
      </c>
      <c r="E608" s="1763"/>
      <c r="F608" s="1763"/>
      <c r="G608" s="188"/>
    </row>
    <row r="609" spans="1:8" x14ac:dyDescent="0.25">
      <c r="A609" s="1762" t="s">
        <v>28</v>
      </c>
      <c r="B609" s="1762"/>
      <c r="C609" s="188"/>
      <c r="D609" s="1764" t="s">
        <v>2832</v>
      </c>
      <c r="E609" s="1764"/>
      <c r="F609" s="1764"/>
      <c r="G609" s="188"/>
      <c r="H609" s="36"/>
    </row>
    <row r="610" spans="1:8" x14ac:dyDescent="0.25">
      <c r="A610" s="186"/>
      <c r="B610" s="187"/>
      <c r="C610" s="188"/>
      <c r="D610" s="189"/>
      <c r="E610" s="218"/>
      <c r="F610" s="218"/>
      <c r="G610" s="188"/>
    </row>
    <row r="611" spans="1:8" x14ac:dyDescent="0.25">
      <c r="A611" s="186"/>
      <c r="B611" s="187"/>
      <c r="C611" s="188"/>
      <c r="D611" s="189"/>
      <c r="E611" s="218"/>
      <c r="F611" s="218"/>
      <c r="G611" s="188"/>
    </row>
    <row r="612" spans="1:8" x14ac:dyDescent="0.25">
      <c r="A612" s="1762"/>
      <c r="B612" s="1762"/>
      <c r="C612" s="188"/>
      <c r="D612" s="189"/>
      <c r="E612" s="1762"/>
      <c r="F612" s="1762"/>
      <c r="G612" s="188"/>
    </row>
    <row r="613" spans="1:8" x14ac:dyDescent="0.25">
      <c r="A613" s="1762" t="s">
        <v>29</v>
      </c>
      <c r="B613" s="1762"/>
      <c r="C613" s="188"/>
      <c r="D613" s="1762" t="s">
        <v>2989</v>
      </c>
      <c r="E613" s="1762"/>
      <c r="F613" s="1762"/>
      <c r="G613" s="188"/>
    </row>
    <row r="615" spans="1:8" x14ac:dyDescent="0.25">
      <c r="A615" s="1765" t="s">
        <v>0</v>
      </c>
      <c r="B615" s="1765"/>
      <c r="C615" s="1765"/>
      <c r="D615" s="1765"/>
      <c r="E615" s="1765"/>
      <c r="F615" s="1765"/>
      <c r="G615" s="185"/>
    </row>
    <row r="616" spans="1:8" x14ac:dyDescent="0.25">
      <c r="A616" s="1765" t="s">
        <v>1</v>
      </c>
      <c r="B616" s="1765"/>
      <c r="C616" s="1765"/>
      <c r="D616" s="1765"/>
      <c r="E616" s="1765"/>
      <c r="F616" s="1765"/>
      <c r="G616" s="185"/>
    </row>
    <row r="617" spans="1:8" x14ac:dyDescent="0.25">
      <c r="A617" s="1765" t="s">
        <v>1769</v>
      </c>
      <c r="B617" s="1765"/>
      <c r="C617" s="1765"/>
      <c r="D617" s="1765"/>
      <c r="E617" s="1765"/>
      <c r="F617" s="1765"/>
      <c r="G617" s="185"/>
    </row>
    <row r="618" spans="1:8" x14ac:dyDescent="0.25">
      <c r="A618" s="184"/>
      <c r="B618" s="184"/>
      <c r="C618" s="184"/>
      <c r="D618" s="184"/>
      <c r="E618" s="184"/>
      <c r="F618" s="184"/>
      <c r="G618" s="185"/>
    </row>
    <row r="619" spans="1:8" x14ac:dyDescent="0.25">
      <c r="A619" s="186" t="s">
        <v>246</v>
      </c>
      <c r="B619" s="187" t="s">
        <v>3</v>
      </c>
      <c r="C619" s="188"/>
      <c r="D619" s="189"/>
      <c r="E619" s="190"/>
      <c r="F619" s="191"/>
      <c r="G619" s="188"/>
    </row>
    <row r="620" spans="1:8" ht="36.75" x14ac:dyDescent="0.25">
      <c r="A620" s="192" t="s">
        <v>247</v>
      </c>
      <c r="B620" s="187" t="s">
        <v>5</v>
      </c>
      <c r="C620" s="188"/>
      <c r="D620" s="189"/>
      <c r="E620" s="227" t="s">
        <v>6</v>
      </c>
      <c r="F620" s="191"/>
      <c r="G620" s="188"/>
    </row>
    <row r="621" spans="1:8" ht="24.75" x14ac:dyDescent="0.25">
      <c r="A621" s="192" t="s">
        <v>7</v>
      </c>
      <c r="B621" s="187" t="s">
        <v>1571</v>
      </c>
      <c r="C621" s="188"/>
      <c r="D621" s="189"/>
      <c r="E621" s="195" t="s">
        <v>9</v>
      </c>
      <c r="F621" s="196"/>
      <c r="G621" s="188"/>
    </row>
    <row r="622" spans="1:8" x14ac:dyDescent="0.25">
      <c r="A622" s="221" t="s">
        <v>37</v>
      </c>
      <c r="B622" s="187"/>
      <c r="C622" s="188"/>
      <c r="D622" s="189"/>
      <c r="E622" s="190"/>
      <c r="F622" s="191"/>
      <c r="G622" s="188"/>
    </row>
    <row r="623" spans="1:8" x14ac:dyDescent="0.25">
      <c r="A623" s="192" t="s">
        <v>10</v>
      </c>
      <c r="B623" s="187"/>
      <c r="C623" s="188"/>
      <c r="D623" s="189"/>
      <c r="E623" s="190"/>
      <c r="F623" s="191"/>
      <c r="G623" s="188"/>
    </row>
    <row r="624" spans="1:8" x14ac:dyDescent="0.25">
      <c r="A624" s="192"/>
      <c r="B624" s="187"/>
      <c r="C624" s="188"/>
      <c r="D624" s="189"/>
      <c r="E624" s="190"/>
      <c r="F624" s="191"/>
      <c r="G624" s="188"/>
    </row>
    <row r="625" spans="1:8" ht="24" x14ac:dyDescent="0.25">
      <c r="A625" s="197" t="s">
        <v>30</v>
      </c>
      <c r="B625" s="198" t="s">
        <v>31</v>
      </c>
      <c r="C625" s="1773" t="s">
        <v>12</v>
      </c>
      <c r="D625" s="1774"/>
      <c r="E625" s="198" t="s">
        <v>32</v>
      </c>
      <c r="F625" s="199" t="s">
        <v>33</v>
      </c>
      <c r="G625" s="197" t="s">
        <v>34</v>
      </c>
    </row>
    <row r="626" spans="1:8" x14ac:dyDescent="0.25">
      <c r="A626" s="200">
        <v>1</v>
      </c>
      <c r="B626" s="200">
        <v>2</v>
      </c>
      <c r="C626" s="1789">
        <v>3</v>
      </c>
      <c r="D626" s="1789"/>
      <c r="E626" s="201">
        <v>4</v>
      </c>
      <c r="F626" s="202">
        <v>5</v>
      </c>
      <c r="G626" s="202">
        <v>6</v>
      </c>
    </row>
    <row r="627" spans="1:8" x14ac:dyDescent="0.25">
      <c r="A627" s="203" t="s">
        <v>1550</v>
      </c>
      <c r="B627" s="360" t="s">
        <v>250</v>
      </c>
      <c r="C627" s="205"/>
      <c r="D627" s="283"/>
      <c r="E627" s="259"/>
      <c r="F627" s="239"/>
      <c r="G627" s="207"/>
    </row>
    <row r="628" spans="1:8" ht="24" x14ac:dyDescent="0.25">
      <c r="A628" s="203" t="s">
        <v>1550</v>
      </c>
      <c r="B628" s="360" t="s">
        <v>1552</v>
      </c>
      <c r="C628" s="205"/>
      <c r="D628" s="283"/>
      <c r="E628" s="259"/>
      <c r="F628" s="239"/>
      <c r="G628" s="217"/>
    </row>
    <row r="629" spans="1:8" x14ac:dyDescent="0.25">
      <c r="A629" s="203" t="s">
        <v>1661</v>
      </c>
      <c r="B629" s="361" t="s">
        <v>1570</v>
      </c>
      <c r="C629" s="205"/>
      <c r="D629" s="206"/>
      <c r="E629" s="259"/>
      <c r="F629" s="239"/>
      <c r="G629" s="197"/>
    </row>
    <row r="630" spans="1:8" ht="24" x14ac:dyDescent="0.25">
      <c r="A630" s="203"/>
      <c r="B630" s="238" t="s">
        <v>2925</v>
      </c>
      <c r="C630" s="205">
        <f>245*12</f>
        <v>2940</v>
      </c>
      <c r="D630" s="206" t="s">
        <v>21</v>
      </c>
      <c r="E630" s="259">
        <v>17809.830000000002</v>
      </c>
      <c r="F630" s="239">
        <f>E630*C630</f>
        <v>52360900.200000003</v>
      </c>
      <c r="G630" s="197"/>
      <c r="H630" s="32"/>
    </row>
    <row r="631" spans="1:8" x14ac:dyDescent="0.25">
      <c r="A631" s="250"/>
      <c r="B631" s="238" t="s">
        <v>1572</v>
      </c>
      <c r="C631" s="214"/>
      <c r="D631" s="206"/>
      <c r="E631" s="215"/>
      <c r="F631" s="239"/>
      <c r="G631" s="217"/>
      <c r="H631">
        <f>65+65+5+30+5+5+15+2+6+36+2+9</f>
        <v>245</v>
      </c>
    </row>
    <row r="632" spans="1:8" x14ac:dyDescent="0.25">
      <c r="A632" s="250"/>
      <c r="B632" s="238" t="s">
        <v>2924</v>
      </c>
      <c r="C632" s="214"/>
      <c r="D632" s="206"/>
      <c r="E632" s="215"/>
      <c r="F632" s="239"/>
      <c r="G632" s="217"/>
    </row>
    <row r="633" spans="1:8" x14ac:dyDescent="0.25">
      <c r="A633" s="250"/>
      <c r="B633" s="238" t="s">
        <v>1573</v>
      </c>
      <c r="C633" s="214"/>
      <c r="D633" s="206"/>
      <c r="E633" s="215"/>
      <c r="F633" s="239"/>
      <c r="G633" s="217"/>
    </row>
    <row r="634" spans="1:8" x14ac:dyDescent="0.25">
      <c r="A634" s="250"/>
      <c r="B634" s="238" t="s">
        <v>1574</v>
      </c>
      <c r="C634" s="214"/>
      <c r="D634" s="206"/>
      <c r="E634" s="215"/>
      <c r="F634" s="239"/>
      <c r="G634" s="217"/>
    </row>
    <row r="635" spans="1:8" x14ac:dyDescent="0.25">
      <c r="A635" s="250"/>
      <c r="B635" s="238" t="s">
        <v>1575</v>
      </c>
      <c r="C635" s="214"/>
      <c r="D635" s="206"/>
      <c r="E635" s="215"/>
      <c r="F635" s="239"/>
      <c r="G635" s="217"/>
    </row>
    <row r="636" spans="1:8" x14ac:dyDescent="0.25">
      <c r="A636" s="250"/>
      <c r="B636" s="238" t="s">
        <v>1576</v>
      </c>
      <c r="C636" s="214"/>
      <c r="D636" s="206"/>
      <c r="E636" s="215"/>
      <c r="F636" s="239"/>
      <c r="G636" s="217"/>
    </row>
    <row r="637" spans="1:8" x14ac:dyDescent="0.25">
      <c r="A637" s="250"/>
      <c r="B637" s="238" t="s">
        <v>1577</v>
      </c>
      <c r="C637" s="214"/>
      <c r="D637" s="206"/>
      <c r="E637" s="215"/>
      <c r="F637" s="239"/>
      <c r="G637" s="217"/>
    </row>
    <row r="638" spans="1:8" x14ac:dyDescent="0.25">
      <c r="A638" s="250"/>
      <c r="B638" s="238" t="s">
        <v>1578</v>
      </c>
      <c r="C638" s="214"/>
      <c r="D638" s="206"/>
      <c r="E638" s="215"/>
      <c r="F638" s="239"/>
      <c r="G638" s="217"/>
    </row>
    <row r="639" spans="1:8" x14ac:dyDescent="0.25">
      <c r="A639" s="250"/>
      <c r="B639" s="238" t="s">
        <v>1579</v>
      </c>
      <c r="C639" s="214"/>
      <c r="D639" s="206"/>
      <c r="E639" s="215"/>
      <c r="F639" s="239"/>
      <c r="G639" s="217"/>
    </row>
    <row r="640" spans="1:8" x14ac:dyDescent="0.25">
      <c r="A640" s="250"/>
      <c r="B640" s="238" t="s">
        <v>1580</v>
      </c>
      <c r="C640" s="214"/>
      <c r="D640" s="206"/>
      <c r="E640" s="215"/>
      <c r="F640" s="239"/>
      <c r="G640" s="217"/>
    </row>
    <row r="641" spans="1:11" x14ac:dyDescent="0.25">
      <c r="A641" s="250"/>
      <c r="B641" s="213" t="s">
        <v>1581</v>
      </c>
      <c r="C641" s="214"/>
      <c r="D641" s="206"/>
      <c r="E641" s="215"/>
      <c r="F641" s="239"/>
      <c r="G641" s="217"/>
    </row>
    <row r="642" spans="1:11" x14ac:dyDescent="0.25">
      <c r="A642" s="250"/>
      <c r="B642" s="213" t="s">
        <v>1582</v>
      </c>
      <c r="C642" s="214"/>
      <c r="D642" s="206"/>
      <c r="E642" s="215"/>
      <c r="F642" s="239"/>
      <c r="G642" s="217"/>
    </row>
    <row r="643" spans="1:11" x14ac:dyDescent="0.25">
      <c r="A643" s="297"/>
      <c r="B643" s="1794" t="s">
        <v>26</v>
      </c>
      <c r="C643" s="1794"/>
      <c r="D643" s="1794"/>
      <c r="E643" s="1795"/>
      <c r="F643" s="215">
        <f>SUM(F630:F642)</f>
        <v>52360900.200000003</v>
      </c>
      <c r="G643" s="217" t="s">
        <v>1845</v>
      </c>
      <c r="K643" s="36">
        <f>F643</f>
        <v>52360900.200000003</v>
      </c>
    </row>
    <row r="645" spans="1:11" x14ac:dyDescent="0.25">
      <c r="A645" s="1762" t="s">
        <v>549</v>
      </c>
      <c r="B645" s="1762"/>
      <c r="C645" s="188" t="s">
        <v>27</v>
      </c>
      <c r="D645" s="1763" t="s">
        <v>1426</v>
      </c>
      <c r="E645" s="1763"/>
      <c r="F645" s="1763"/>
      <c r="G645" s="188"/>
    </row>
    <row r="646" spans="1:11" x14ac:dyDescent="0.25">
      <c r="A646" s="1762" t="s">
        <v>28</v>
      </c>
      <c r="B646" s="1762"/>
      <c r="C646" s="188"/>
      <c r="D646" s="1764" t="s">
        <v>2832</v>
      </c>
      <c r="E646" s="1764"/>
      <c r="F646" s="1764"/>
      <c r="G646" s="188"/>
      <c r="H646" s="36"/>
    </row>
    <row r="647" spans="1:11" x14ac:dyDescent="0.25">
      <c r="A647" s="186"/>
      <c r="B647" s="187"/>
      <c r="C647" s="188"/>
      <c r="D647" s="189"/>
      <c r="E647" s="218"/>
      <c r="F647" s="218"/>
      <c r="G647" s="188"/>
    </row>
    <row r="648" spans="1:11" x14ac:dyDescent="0.25">
      <c r="A648" s="186"/>
      <c r="B648" s="187"/>
      <c r="C648" s="188"/>
      <c r="D648" s="189"/>
      <c r="E648" s="218"/>
      <c r="F648" s="218"/>
      <c r="G648" s="188"/>
    </row>
    <row r="649" spans="1:11" x14ac:dyDescent="0.25">
      <c r="A649" s="1762"/>
      <c r="B649" s="1762"/>
      <c r="C649" s="188"/>
      <c r="D649" s="189"/>
      <c r="E649" s="1762"/>
      <c r="F649" s="1762"/>
      <c r="G649" s="188"/>
    </row>
    <row r="650" spans="1:11" x14ac:dyDescent="0.25">
      <c r="A650" s="1762" t="s">
        <v>29</v>
      </c>
      <c r="B650" s="1762"/>
      <c r="C650" s="188"/>
      <c r="D650" s="1762" t="s">
        <v>2989</v>
      </c>
      <c r="E650" s="1762"/>
      <c r="F650" s="1762"/>
      <c r="G650" s="188"/>
    </row>
    <row r="652" spans="1:11" x14ac:dyDescent="0.25">
      <c r="A652" s="1765" t="s">
        <v>0</v>
      </c>
      <c r="B652" s="1765"/>
      <c r="C652" s="1765"/>
      <c r="D652" s="1765"/>
      <c r="E652" s="1765"/>
      <c r="F652" s="1765"/>
      <c r="G652" s="1765"/>
    </row>
    <row r="653" spans="1:11" x14ac:dyDescent="0.25">
      <c r="A653" s="1765" t="s">
        <v>1</v>
      </c>
      <c r="B653" s="1765"/>
      <c r="C653" s="1765"/>
      <c r="D653" s="1765"/>
      <c r="E653" s="1765"/>
      <c r="F653" s="1765"/>
      <c r="G653" s="1765"/>
    </row>
    <row r="654" spans="1:11" x14ac:dyDescent="0.25">
      <c r="A654" s="1765" t="s">
        <v>1769</v>
      </c>
      <c r="B654" s="1765"/>
      <c r="C654" s="1765"/>
      <c r="D654" s="1765"/>
      <c r="E654" s="1765"/>
      <c r="F654" s="1765"/>
      <c r="G654" s="1765"/>
    </row>
    <row r="655" spans="1:11" x14ac:dyDescent="0.25">
      <c r="A655" s="184"/>
      <c r="B655" s="184"/>
      <c r="C655" s="184"/>
      <c r="D655" s="184"/>
      <c r="E655" s="184"/>
      <c r="F655" s="184"/>
      <c r="G655" s="184"/>
    </row>
    <row r="656" spans="1:11" x14ac:dyDescent="0.25">
      <c r="A656" s="263" t="s">
        <v>261</v>
      </c>
      <c r="B656" s="225" t="s">
        <v>3</v>
      </c>
      <c r="C656" s="263"/>
      <c r="D656" s="263"/>
      <c r="E656" s="227" t="s">
        <v>6</v>
      </c>
      <c r="F656" s="191"/>
    </row>
    <row r="657" spans="1:7" ht="51" x14ac:dyDescent="0.25">
      <c r="A657" s="263" t="s">
        <v>262</v>
      </c>
      <c r="B657" s="225" t="s">
        <v>5</v>
      </c>
      <c r="C657" s="263"/>
      <c r="D657" s="263"/>
      <c r="E657" s="195" t="s">
        <v>9</v>
      </c>
      <c r="F657" s="196"/>
    </row>
    <row r="658" spans="1:7" x14ac:dyDescent="0.25">
      <c r="A658" s="265" t="s">
        <v>263</v>
      </c>
      <c r="B658" s="265" t="s">
        <v>482</v>
      </c>
      <c r="C658" s="265"/>
      <c r="D658" s="265"/>
      <c r="E658" s="265"/>
      <c r="F658" s="265"/>
    </row>
    <row r="659" spans="1:7" x14ac:dyDescent="0.25">
      <c r="A659" s="266" t="s">
        <v>60</v>
      </c>
      <c r="B659" s="226" t="s">
        <v>61</v>
      </c>
      <c r="C659" s="226"/>
      <c r="D659" s="188"/>
      <c r="E659" s="188"/>
      <c r="F659" s="188"/>
    </row>
    <row r="660" spans="1:7" x14ac:dyDescent="0.25">
      <c r="A660" s="226" t="s">
        <v>62</v>
      </c>
      <c r="B660" s="226"/>
      <c r="C660" s="226"/>
      <c r="D660" s="1763"/>
      <c r="E660" s="1763"/>
      <c r="F660" s="188"/>
    </row>
    <row r="661" spans="1:7" x14ac:dyDescent="0.25">
      <c r="A661" s="187"/>
      <c r="B661" s="187"/>
      <c r="C661" s="187"/>
      <c r="D661" s="187"/>
      <c r="E661" s="187"/>
      <c r="F661" s="187"/>
    </row>
    <row r="662" spans="1:7" ht="24" x14ac:dyDescent="0.25">
      <c r="A662" s="198" t="s">
        <v>265</v>
      </c>
      <c r="B662" s="198" t="s">
        <v>11</v>
      </c>
      <c r="C662" s="1767" t="s">
        <v>12</v>
      </c>
      <c r="D662" s="1768"/>
      <c r="E662" s="267" t="s">
        <v>13</v>
      </c>
      <c r="F662" s="268" t="s">
        <v>14</v>
      </c>
      <c r="G662" s="34" t="s">
        <v>266</v>
      </c>
    </row>
    <row r="663" spans="1:7" x14ac:dyDescent="0.25">
      <c r="A663" s="198">
        <v>1</v>
      </c>
      <c r="B663" s="198">
        <v>2</v>
      </c>
      <c r="C663" s="1767">
        <v>3</v>
      </c>
      <c r="D663" s="1768"/>
      <c r="E663" s="269">
        <v>4</v>
      </c>
      <c r="F663" s="268">
        <v>5</v>
      </c>
      <c r="G663" s="35">
        <v>6</v>
      </c>
    </row>
    <row r="664" spans="1:7" x14ac:dyDescent="0.25">
      <c r="A664" s="203" t="s">
        <v>483</v>
      </c>
      <c r="B664" s="204" t="s">
        <v>287</v>
      </c>
      <c r="C664" s="205"/>
      <c r="D664" s="206"/>
      <c r="E664" s="197"/>
      <c r="F664" s="199"/>
      <c r="G664" s="222"/>
    </row>
    <row r="665" spans="1:7" ht="24" x14ac:dyDescent="0.25">
      <c r="A665" s="203" t="s">
        <v>484</v>
      </c>
      <c r="B665" s="204" t="s">
        <v>485</v>
      </c>
      <c r="C665" s="205"/>
      <c r="D665" s="206"/>
      <c r="E665" s="197"/>
      <c r="F665" s="199"/>
      <c r="G665" s="222"/>
    </row>
    <row r="666" spans="1:7" ht="24.75" x14ac:dyDescent="0.25">
      <c r="A666" s="203" t="s">
        <v>486</v>
      </c>
      <c r="B666" s="213" t="s">
        <v>487</v>
      </c>
      <c r="C666" s="243"/>
      <c r="D666" s="244"/>
      <c r="E666" s="231"/>
      <c r="F666" s="252"/>
      <c r="G666" s="222"/>
    </row>
    <row r="667" spans="1:7" x14ac:dyDescent="0.25">
      <c r="A667" s="217"/>
      <c r="B667" s="363" t="s">
        <v>2837</v>
      </c>
      <c r="C667" s="243">
        <f>10*12</f>
        <v>120</v>
      </c>
      <c r="D667" s="244" t="s">
        <v>159</v>
      </c>
      <c r="E667" s="231">
        <v>22000</v>
      </c>
      <c r="F667" s="252">
        <f>E667*C667</f>
        <v>2640000</v>
      </c>
      <c r="G667" s="222"/>
    </row>
    <row r="668" spans="1:7" x14ac:dyDescent="0.25">
      <c r="A668" s="217"/>
      <c r="B668" s="363" t="s">
        <v>2838</v>
      </c>
      <c r="C668" s="243">
        <v>60</v>
      </c>
      <c r="D668" s="244" t="s">
        <v>159</v>
      </c>
      <c r="E668" s="231">
        <v>108800</v>
      </c>
      <c r="F668" s="252">
        <f t="shared" ref="F668:F673" si="13">E668*C668</f>
        <v>6528000</v>
      </c>
      <c r="G668" s="222"/>
    </row>
    <row r="669" spans="1:7" x14ac:dyDescent="0.25">
      <c r="A669" s="217"/>
      <c r="B669" s="363" t="s">
        <v>2839</v>
      </c>
      <c r="C669" s="243">
        <f>10*12</f>
        <v>120</v>
      </c>
      <c r="D669" s="244" t="s">
        <v>159</v>
      </c>
      <c r="E669" s="231">
        <v>50000</v>
      </c>
      <c r="F669" s="252">
        <f t="shared" si="13"/>
        <v>6000000</v>
      </c>
      <c r="G669" s="222"/>
    </row>
    <row r="670" spans="1:7" x14ac:dyDescent="0.25">
      <c r="A670" s="217"/>
      <c r="B670" s="217" t="s">
        <v>2840</v>
      </c>
      <c r="C670" s="243">
        <v>240</v>
      </c>
      <c r="D670" s="244" t="s">
        <v>159</v>
      </c>
      <c r="E670" s="231">
        <v>20000</v>
      </c>
      <c r="F670" s="252">
        <f>E670*C670</f>
        <v>4800000</v>
      </c>
      <c r="G670" s="222"/>
    </row>
    <row r="671" spans="1:7" x14ac:dyDescent="0.25">
      <c r="A671" s="217"/>
      <c r="B671" s="363" t="s">
        <v>2841</v>
      </c>
      <c r="C671" s="243">
        <v>172</v>
      </c>
      <c r="D671" s="244" t="s">
        <v>488</v>
      </c>
      <c r="E671" s="231">
        <v>12000</v>
      </c>
      <c r="F671" s="252">
        <f t="shared" si="13"/>
        <v>2064000</v>
      </c>
      <c r="G671" s="222"/>
    </row>
    <row r="672" spans="1:7" x14ac:dyDescent="0.25">
      <c r="A672" s="217"/>
      <c r="B672" s="363" t="s">
        <v>2842</v>
      </c>
      <c r="C672" s="243">
        <f>25*12</f>
        <v>300</v>
      </c>
      <c r="D672" s="244" t="s">
        <v>489</v>
      </c>
      <c r="E672" s="231">
        <v>5000</v>
      </c>
      <c r="F672" s="252">
        <f>E672*C672</f>
        <v>1500000</v>
      </c>
      <c r="G672" s="222"/>
    </row>
    <row r="673" spans="1:16" x14ac:dyDescent="0.25">
      <c r="A673" s="217"/>
      <c r="B673" s="363" t="s">
        <v>2590</v>
      </c>
      <c r="C673" s="243">
        <v>310</v>
      </c>
      <c r="D673" s="244" t="s">
        <v>108</v>
      </c>
      <c r="E673" s="231">
        <v>50000</v>
      </c>
      <c r="F673" s="252">
        <f t="shared" si="13"/>
        <v>15500000</v>
      </c>
      <c r="G673" s="222"/>
    </row>
    <row r="674" spans="1:16" x14ac:dyDescent="0.25">
      <c r="A674" s="217"/>
      <c r="B674" s="364"/>
      <c r="C674" s="235"/>
      <c r="D674" s="365"/>
      <c r="E674" s="366"/>
      <c r="F674" s="367"/>
      <c r="G674" s="222"/>
    </row>
    <row r="675" spans="1:16" x14ac:dyDescent="0.25">
      <c r="A675" s="217"/>
      <c r="B675" s="1823" t="s">
        <v>26</v>
      </c>
      <c r="C675" s="1794"/>
      <c r="D675" s="1794"/>
      <c r="E675" s="1795"/>
      <c r="F675" s="368">
        <f>SUM(F667:F674)</f>
        <v>39032000</v>
      </c>
      <c r="G675" s="369" t="s">
        <v>1417</v>
      </c>
      <c r="P675" s="32">
        <f>F675</f>
        <v>39032000</v>
      </c>
    </row>
    <row r="677" spans="1:16" x14ac:dyDescent="0.25">
      <c r="A677" s="1762" t="s">
        <v>549</v>
      </c>
      <c r="B677" s="1762"/>
      <c r="C677" s="188" t="s">
        <v>27</v>
      </c>
      <c r="D677" s="1763" t="s">
        <v>1426</v>
      </c>
      <c r="E677" s="1763"/>
      <c r="F677" s="1763"/>
      <c r="G677" s="188"/>
    </row>
    <row r="678" spans="1:16" x14ac:dyDescent="0.25">
      <c r="A678" s="1762" t="s">
        <v>28</v>
      </c>
      <c r="B678" s="1762"/>
      <c r="C678" s="188"/>
      <c r="D678" s="1764" t="s">
        <v>2832</v>
      </c>
      <c r="E678" s="1764"/>
      <c r="F678" s="1764"/>
      <c r="G678" s="188"/>
      <c r="H678" s="36"/>
    </row>
    <row r="679" spans="1:16" x14ac:dyDescent="0.25">
      <c r="A679" s="186"/>
      <c r="B679" s="187"/>
      <c r="C679" s="188"/>
      <c r="D679" s="189"/>
      <c r="E679" s="218"/>
      <c r="F679" s="218"/>
      <c r="G679" s="188"/>
    </row>
    <row r="680" spans="1:16" x14ac:dyDescent="0.25">
      <c r="A680" s="186"/>
      <c r="B680" s="187"/>
      <c r="C680" s="188"/>
      <c r="D680" s="189"/>
      <c r="E680" s="218"/>
      <c r="F680" s="218"/>
      <c r="G680" s="188"/>
    </row>
    <row r="681" spans="1:16" x14ac:dyDescent="0.25">
      <c r="A681" s="1762"/>
      <c r="B681" s="1762"/>
      <c r="C681" s="188"/>
      <c r="D681" s="189"/>
      <c r="E681" s="1762"/>
      <c r="F681" s="1762"/>
      <c r="G681" s="188"/>
    </row>
    <row r="682" spans="1:16" x14ac:dyDescent="0.25">
      <c r="A682" s="1762" t="s">
        <v>29</v>
      </c>
      <c r="B682" s="1762"/>
      <c r="C682" s="188"/>
      <c r="D682" s="1762" t="s">
        <v>2989</v>
      </c>
      <c r="E682" s="1762"/>
      <c r="F682" s="1762"/>
      <c r="G682" s="188"/>
    </row>
    <row r="683" spans="1:16" x14ac:dyDescent="0.25">
      <c r="A683" s="1765" t="s">
        <v>474</v>
      </c>
      <c r="B683" s="1765"/>
      <c r="C683" s="1765"/>
      <c r="D683" s="1765"/>
      <c r="E683" s="1765"/>
      <c r="F683" s="1765"/>
      <c r="G683" s="1765"/>
    </row>
    <row r="684" spans="1:16" x14ac:dyDescent="0.25">
      <c r="A684" s="1765" t="s">
        <v>0</v>
      </c>
      <c r="B684" s="1765"/>
      <c r="C684" s="1765"/>
      <c r="D684" s="1765"/>
      <c r="E684" s="1765"/>
      <c r="F684" s="1765"/>
      <c r="G684" s="1765"/>
    </row>
    <row r="685" spans="1:16" x14ac:dyDescent="0.25">
      <c r="A685" s="1765" t="s">
        <v>1</v>
      </c>
      <c r="B685" s="1765"/>
      <c r="C685" s="1765"/>
      <c r="D685" s="1765"/>
      <c r="E685" s="1765"/>
      <c r="F685" s="1765"/>
      <c r="G685" s="1765"/>
    </row>
    <row r="686" spans="1:16" x14ac:dyDescent="0.25">
      <c r="A686" s="1765" t="s">
        <v>1769</v>
      </c>
      <c r="B686" s="1765"/>
      <c r="C686" s="1765"/>
      <c r="D686" s="1765"/>
      <c r="E686" s="1765"/>
      <c r="F686" s="1765"/>
      <c r="G686" s="1765"/>
    </row>
    <row r="687" spans="1:16" x14ac:dyDescent="0.25">
      <c r="A687" s="184"/>
      <c r="B687" s="184"/>
      <c r="C687" s="184"/>
      <c r="D687" s="184"/>
      <c r="E687" s="184"/>
      <c r="F687" s="184"/>
      <c r="G687" s="184"/>
    </row>
    <row r="688" spans="1:16" x14ac:dyDescent="0.25">
      <c r="A688" s="263" t="s">
        <v>261</v>
      </c>
      <c r="B688" s="225" t="s">
        <v>3</v>
      </c>
      <c r="C688" s="263"/>
      <c r="D688" s="263"/>
      <c r="E688" s="227" t="s">
        <v>6</v>
      </c>
      <c r="F688" s="191"/>
    </row>
    <row r="689" spans="1:16" ht="51" x14ac:dyDescent="0.25">
      <c r="A689" s="263" t="s">
        <v>262</v>
      </c>
      <c r="B689" s="225" t="s">
        <v>5</v>
      </c>
      <c r="C689" s="263"/>
      <c r="D689" s="263"/>
      <c r="E689" s="195" t="s">
        <v>9</v>
      </c>
      <c r="F689" s="196"/>
    </row>
    <row r="690" spans="1:16" x14ac:dyDescent="0.25">
      <c r="A690" s="265" t="s">
        <v>263</v>
      </c>
      <c r="B690" s="265" t="s">
        <v>2843</v>
      </c>
      <c r="C690" s="265"/>
      <c r="D690" s="265"/>
      <c r="E690" s="265"/>
      <c r="F690" s="265"/>
    </row>
    <row r="691" spans="1:16" x14ac:dyDescent="0.25">
      <c r="A691" s="266" t="s">
        <v>60</v>
      </c>
      <c r="B691" s="226" t="s">
        <v>61</v>
      </c>
      <c r="C691" s="226"/>
      <c r="D691" s="188"/>
      <c r="E691" s="188"/>
      <c r="F691" s="188"/>
    </row>
    <row r="692" spans="1:16" x14ac:dyDescent="0.25">
      <c r="A692" s="226" t="s">
        <v>62</v>
      </c>
      <c r="B692" s="226"/>
      <c r="C692" s="226"/>
      <c r="D692" s="1763"/>
      <c r="E692" s="1763"/>
      <c r="F692" s="188"/>
    </row>
    <row r="693" spans="1:16" x14ac:dyDescent="0.25">
      <c r="A693" s="187"/>
      <c r="B693" s="187"/>
      <c r="C693" s="187"/>
      <c r="D693" s="187"/>
      <c r="E693" s="187"/>
      <c r="F693" s="187"/>
    </row>
    <row r="694" spans="1:16" ht="24" x14ac:dyDescent="0.25">
      <c r="A694" s="198" t="s">
        <v>265</v>
      </c>
      <c r="B694" s="198" t="s">
        <v>11</v>
      </c>
      <c r="C694" s="1767" t="s">
        <v>12</v>
      </c>
      <c r="D694" s="1768"/>
      <c r="E694" s="267" t="s">
        <v>13</v>
      </c>
      <c r="F694" s="268" t="s">
        <v>14</v>
      </c>
      <c r="G694" s="34" t="s">
        <v>266</v>
      </c>
    </row>
    <row r="695" spans="1:16" x14ac:dyDescent="0.25">
      <c r="A695" s="198">
        <v>1</v>
      </c>
      <c r="B695" s="198">
        <v>2</v>
      </c>
      <c r="C695" s="1767">
        <v>3</v>
      </c>
      <c r="D695" s="1768"/>
      <c r="E695" s="269">
        <v>4</v>
      </c>
      <c r="F695" s="268">
        <v>5</v>
      </c>
      <c r="G695" s="35">
        <v>6</v>
      </c>
    </row>
    <row r="696" spans="1:16" x14ac:dyDescent="0.25">
      <c r="A696" s="203" t="s">
        <v>483</v>
      </c>
      <c r="B696" s="204" t="s">
        <v>287</v>
      </c>
      <c r="C696" s="205"/>
      <c r="D696" s="206"/>
      <c r="E696" s="197"/>
      <c r="F696" s="199"/>
      <c r="G696" s="222"/>
    </row>
    <row r="697" spans="1:16" ht="24" x14ac:dyDescent="0.25">
      <c r="A697" s="203" t="s">
        <v>484</v>
      </c>
      <c r="B697" s="204" t="s">
        <v>485</v>
      </c>
      <c r="C697" s="205"/>
      <c r="D697" s="206"/>
      <c r="E697" s="197"/>
      <c r="F697" s="199"/>
      <c r="G697" s="222"/>
    </row>
    <row r="698" spans="1:16" ht="24.75" x14ac:dyDescent="0.25">
      <c r="A698" s="203" t="s">
        <v>486</v>
      </c>
      <c r="B698" s="213" t="s">
        <v>487</v>
      </c>
      <c r="C698" s="243"/>
      <c r="D698" s="244"/>
      <c r="E698" s="231"/>
      <c r="F698" s="252"/>
      <c r="G698" s="222"/>
    </row>
    <row r="699" spans="1:16" x14ac:dyDescent="0.25">
      <c r="A699" s="217"/>
      <c r="B699" s="363" t="s">
        <v>2844</v>
      </c>
      <c r="C699" s="243">
        <v>1</v>
      </c>
      <c r="D699" s="244" t="s">
        <v>219</v>
      </c>
      <c r="E699" s="231">
        <v>31110700</v>
      </c>
      <c r="F699" s="252">
        <f>E699*C699</f>
        <v>31110700</v>
      </c>
      <c r="G699" s="222" t="s">
        <v>1711</v>
      </c>
    </row>
    <row r="700" spans="1:16" x14ac:dyDescent="0.25">
      <c r="A700" s="217"/>
      <c r="B700" s="363"/>
      <c r="C700" s="243"/>
      <c r="D700" s="244"/>
      <c r="E700" s="231"/>
      <c r="F700" s="252"/>
      <c r="G700" s="222"/>
    </row>
    <row r="701" spans="1:16" x14ac:dyDescent="0.25">
      <c r="A701" s="217"/>
      <c r="B701" s="364"/>
      <c r="C701" s="235"/>
      <c r="D701" s="365"/>
      <c r="E701" s="366"/>
      <c r="F701" s="367"/>
      <c r="G701" s="222"/>
    </row>
    <row r="702" spans="1:16" x14ac:dyDescent="0.25">
      <c r="A702" s="217"/>
      <c r="B702" s="1823" t="s">
        <v>26</v>
      </c>
      <c r="C702" s="1794"/>
      <c r="D702" s="1794"/>
      <c r="E702" s="1795"/>
      <c r="F702" s="368">
        <f>SUM(F699:F701)</f>
        <v>31110700</v>
      </c>
      <c r="G702" s="369" t="s">
        <v>1711</v>
      </c>
      <c r="I702" s="32">
        <f>F702</f>
        <v>31110700</v>
      </c>
      <c r="P702" s="32"/>
    </row>
    <row r="704" spans="1:16" x14ac:dyDescent="0.25">
      <c r="A704" s="1762" t="s">
        <v>549</v>
      </c>
      <c r="B704" s="1762"/>
      <c r="C704" s="188" t="s">
        <v>27</v>
      </c>
      <c r="D704" s="1763" t="s">
        <v>1426</v>
      </c>
      <c r="E704" s="1763"/>
      <c r="F704" s="1763"/>
      <c r="G704" s="188"/>
    </row>
    <row r="705" spans="1:8" x14ac:dyDescent="0.25">
      <c r="A705" s="1762" t="s">
        <v>28</v>
      </c>
      <c r="B705" s="1762"/>
      <c r="C705" s="188"/>
      <c r="D705" s="1764" t="s">
        <v>2832</v>
      </c>
      <c r="E705" s="1764"/>
      <c r="F705" s="1764"/>
      <c r="G705" s="188"/>
      <c r="H705" s="36"/>
    </row>
    <row r="706" spans="1:8" x14ac:dyDescent="0.25">
      <c r="A706" s="186"/>
      <c r="B706" s="187"/>
      <c r="C706" s="188"/>
      <c r="D706" s="189"/>
      <c r="E706" s="218"/>
      <c r="F706" s="218"/>
      <c r="G706" s="188"/>
    </row>
    <row r="707" spans="1:8" x14ac:dyDescent="0.25">
      <c r="A707" s="186"/>
      <c r="B707" s="187"/>
      <c r="C707" s="188"/>
      <c r="D707" s="189"/>
      <c r="E707" s="218"/>
      <c r="F707" s="218"/>
      <c r="G707" s="188"/>
    </row>
    <row r="708" spans="1:8" x14ac:dyDescent="0.25">
      <c r="A708" s="1762"/>
      <c r="B708" s="1762"/>
      <c r="C708" s="188"/>
      <c r="D708" s="189"/>
      <c r="E708" s="1762"/>
      <c r="F708" s="1762"/>
      <c r="G708" s="188"/>
    </row>
    <row r="709" spans="1:8" x14ac:dyDescent="0.25">
      <c r="A709" s="1762" t="s">
        <v>29</v>
      </c>
      <c r="B709" s="1762"/>
      <c r="C709" s="188"/>
      <c r="D709" s="1762" t="s">
        <v>2989</v>
      </c>
      <c r="E709" s="1762"/>
      <c r="F709" s="1762"/>
      <c r="G709" s="188"/>
    </row>
    <row r="710" spans="1:8" x14ac:dyDescent="0.25">
      <c r="A710" s="1765" t="s">
        <v>0</v>
      </c>
      <c r="B710" s="1765"/>
      <c r="C710" s="1765"/>
      <c r="D710" s="1765"/>
      <c r="E710" s="1765"/>
      <c r="F710" s="1765"/>
      <c r="G710" s="1765"/>
    </row>
    <row r="711" spans="1:8" x14ac:dyDescent="0.25">
      <c r="A711" s="1765" t="s">
        <v>1</v>
      </c>
      <c r="B711" s="1765"/>
      <c r="C711" s="1765"/>
      <c r="D711" s="1765"/>
      <c r="E711" s="1765"/>
      <c r="F711" s="1765"/>
      <c r="G711" s="1765"/>
    </row>
    <row r="712" spans="1:8" x14ac:dyDescent="0.25">
      <c r="A712" s="1765" t="s">
        <v>1769</v>
      </c>
      <c r="B712" s="1765"/>
      <c r="C712" s="1765"/>
      <c r="D712" s="1765"/>
      <c r="E712" s="1765"/>
      <c r="F712" s="1765"/>
      <c r="G712" s="1765"/>
    </row>
    <row r="713" spans="1:8" x14ac:dyDescent="0.25">
      <c r="A713" s="184"/>
      <c r="B713" s="184"/>
      <c r="C713" s="184"/>
      <c r="D713" s="184"/>
      <c r="E713" s="184"/>
      <c r="F713" s="184"/>
      <c r="G713" s="185"/>
    </row>
    <row r="714" spans="1:8" x14ac:dyDescent="0.25">
      <c r="A714" s="186" t="s">
        <v>246</v>
      </c>
      <c r="B714" s="187" t="s">
        <v>3</v>
      </c>
      <c r="C714" s="188"/>
      <c r="D714" s="189"/>
      <c r="E714" s="190"/>
      <c r="F714" s="191"/>
      <c r="G714" s="188"/>
    </row>
    <row r="715" spans="1:8" ht="36.75" x14ac:dyDescent="0.25">
      <c r="A715" s="192" t="s">
        <v>247</v>
      </c>
      <c r="B715" s="187" t="s">
        <v>5</v>
      </c>
      <c r="C715" s="188"/>
      <c r="D715" s="189"/>
      <c r="E715" s="227" t="s">
        <v>6</v>
      </c>
      <c r="F715" s="191"/>
      <c r="G715" s="188"/>
    </row>
    <row r="716" spans="1:8" ht="24.75" x14ac:dyDescent="0.25">
      <c r="A716" s="192" t="s">
        <v>7</v>
      </c>
      <c r="B716" s="187" t="s">
        <v>539</v>
      </c>
      <c r="C716" s="188"/>
      <c r="D716" s="189"/>
      <c r="E716" s="195" t="s">
        <v>9</v>
      </c>
      <c r="F716" s="196"/>
      <c r="G716" s="188"/>
    </row>
    <row r="717" spans="1:8" x14ac:dyDescent="0.25">
      <c r="A717" s="221" t="s">
        <v>37</v>
      </c>
      <c r="B717" s="187" t="s">
        <v>1849</v>
      </c>
      <c r="C717" s="188"/>
      <c r="D717" s="189"/>
      <c r="E717" s="190"/>
      <c r="F717" s="191"/>
      <c r="G717" s="188"/>
    </row>
    <row r="718" spans="1:8" x14ac:dyDescent="0.25">
      <c r="A718" s="192" t="s">
        <v>10</v>
      </c>
      <c r="B718" s="187"/>
      <c r="C718" s="188"/>
      <c r="D718" s="189"/>
      <c r="E718" s="190"/>
      <c r="F718" s="191"/>
      <c r="G718" s="188"/>
    </row>
    <row r="719" spans="1:8" x14ac:dyDescent="0.25">
      <c r="A719" s="192"/>
      <c r="B719" s="187"/>
      <c r="C719" s="188"/>
      <c r="D719" s="189"/>
      <c r="E719" s="190"/>
      <c r="F719" s="191"/>
      <c r="G719" s="188"/>
    </row>
    <row r="720" spans="1:8" ht="24" x14ac:dyDescent="0.25">
      <c r="A720" s="197" t="s">
        <v>30</v>
      </c>
      <c r="B720" s="198" t="s">
        <v>31</v>
      </c>
      <c r="C720" s="1773" t="s">
        <v>12</v>
      </c>
      <c r="D720" s="1774"/>
      <c r="E720" s="198" t="s">
        <v>32</v>
      </c>
      <c r="F720" s="199" t="s">
        <v>33</v>
      </c>
      <c r="G720" s="197" t="s">
        <v>34</v>
      </c>
    </row>
    <row r="721" spans="1:14" x14ac:dyDescent="0.25">
      <c r="A721" s="200">
        <v>1</v>
      </c>
      <c r="B721" s="200">
        <v>2</v>
      </c>
      <c r="C721" s="1789">
        <v>3</v>
      </c>
      <c r="D721" s="1789"/>
      <c r="E721" s="201">
        <v>4</v>
      </c>
      <c r="F721" s="202">
        <v>5</v>
      </c>
      <c r="G721" s="202">
        <v>6</v>
      </c>
    </row>
    <row r="722" spans="1:14" x14ac:dyDescent="0.25">
      <c r="A722" s="203" t="s">
        <v>540</v>
      </c>
      <c r="B722" s="204" t="s">
        <v>16</v>
      </c>
      <c r="C722" s="205"/>
      <c r="D722" s="206"/>
      <c r="E722" s="207"/>
      <c r="F722" s="208"/>
      <c r="G722" s="207"/>
    </row>
    <row r="723" spans="1:14" x14ac:dyDescent="0.25">
      <c r="A723" s="203" t="s">
        <v>541</v>
      </c>
      <c r="B723" s="204" t="s">
        <v>18</v>
      </c>
      <c r="C723" s="210"/>
      <c r="D723" s="211"/>
      <c r="E723" s="207"/>
      <c r="F723" s="208"/>
      <c r="G723" s="207"/>
    </row>
    <row r="724" spans="1:14" x14ac:dyDescent="0.25">
      <c r="A724" s="212" t="s">
        <v>542</v>
      </c>
      <c r="B724" s="213" t="s">
        <v>20</v>
      </c>
      <c r="C724" s="214">
        <v>12</v>
      </c>
      <c r="D724" s="206" t="s">
        <v>543</v>
      </c>
      <c r="E724" s="215">
        <v>1500000</v>
      </c>
      <c r="F724" s="216">
        <f>C724*E724</f>
        <v>18000000</v>
      </c>
      <c r="G724" s="217"/>
    </row>
    <row r="725" spans="1:14" x14ac:dyDescent="0.25">
      <c r="A725" s="256"/>
      <c r="B725" s="213"/>
      <c r="C725" s="243"/>
      <c r="D725" s="244"/>
      <c r="E725" s="231"/>
      <c r="F725" s="252"/>
      <c r="G725" s="217"/>
    </row>
    <row r="726" spans="1:14" x14ac:dyDescent="0.25">
      <c r="A726" s="217"/>
      <c r="B726" s="217"/>
      <c r="C726" s="243"/>
      <c r="D726" s="249"/>
      <c r="E726" s="215"/>
      <c r="F726" s="215"/>
      <c r="G726" s="217"/>
    </row>
    <row r="727" spans="1:14" ht="24.75" x14ac:dyDescent="0.25">
      <c r="A727" s="1791" t="s">
        <v>26</v>
      </c>
      <c r="B727" s="1792"/>
      <c r="C727" s="1792"/>
      <c r="D727" s="1792"/>
      <c r="E727" s="1793"/>
      <c r="F727" s="215">
        <f>F724</f>
        <v>18000000</v>
      </c>
      <c r="G727" s="213" t="s">
        <v>2591</v>
      </c>
      <c r="H727" s="36"/>
      <c r="N727" s="36">
        <f>F727</f>
        <v>18000000</v>
      </c>
    </row>
    <row r="729" spans="1:14" x14ac:dyDescent="0.25">
      <c r="A729" s="1762" t="s">
        <v>549</v>
      </c>
      <c r="B729" s="1762"/>
      <c r="C729" s="188" t="s">
        <v>27</v>
      </c>
      <c r="D729" s="1763" t="s">
        <v>1426</v>
      </c>
      <c r="E729" s="1763"/>
      <c r="F729" s="1763"/>
      <c r="G729" s="188"/>
    </row>
    <row r="730" spans="1:14" x14ac:dyDescent="0.25">
      <c r="A730" s="1762" t="s">
        <v>28</v>
      </c>
      <c r="B730" s="1762"/>
      <c r="C730" s="188"/>
      <c r="D730" s="1764" t="s">
        <v>2832</v>
      </c>
      <c r="E730" s="1764"/>
      <c r="F730" s="1764"/>
      <c r="G730" s="188"/>
      <c r="H730" s="36"/>
    </row>
    <row r="731" spans="1:14" x14ac:dyDescent="0.25">
      <c r="A731" s="186"/>
      <c r="B731" s="187"/>
      <c r="C731" s="188"/>
      <c r="D731" s="189"/>
      <c r="E731" s="218"/>
      <c r="F731" s="218"/>
      <c r="G731" s="188"/>
    </row>
    <row r="732" spans="1:14" x14ac:dyDescent="0.25">
      <c r="A732" s="186"/>
      <c r="B732" s="187"/>
      <c r="C732" s="188"/>
      <c r="D732" s="189"/>
      <c r="E732" s="218"/>
      <c r="F732" s="218"/>
      <c r="G732" s="188"/>
    </row>
    <row r="733" spans="1:14" x14ac:dyDescent="0.25">
      <c r="A733" s="1762"/>
      <c r="B733" s="1762"/>
      <c r="C733" s="188"/>
      <c r="D733" s="189"/>
      <c r="E733" s="1762"/>
      <c r="F733" s="1762"/>
      <c r="G733" s="188"/>
    </row>
    <row r="734" spans="1:14" x14ac:dyDescent="0.25">
      <c r="A734" s="1762" t="s">
        <v>29</v>
      </c>
      <c r="B734" s="1762"/>
      <c r="C734" s="188"/>
      <c r="D734" s="1762" t="s">
        <v>2989</v>
      </c>
      <c r="E734" s="1762"/>
      <c r="F734" s="1762"/>
      <c r="G734" s="188"/>
    </row>
    <row r="735" spans="1:14" x14ac:dyDescent="0.25">
      <c r="A735" s="1765" t="s">
        <v>0</v>
      </c>
      <c r="B735" s="1765"/>
      <c r="C735" s="1765"/>
      <c r="D735" s="1765"/>
      <c r="E735" s="1765"/>
      <c r="F735" s="1765"/>
      <c r="G735" s="1765"/>
    </row>
    <row r="736" spans="1:14" x14ac:dyDescent="0.25">
      <c r="A736" s="1765" t="s">
        <v>1</v>
      </c>
      <c r="B736" s="1765"/>
      <c r="C736" s="1765"/>
      <c r="D736" s="1765"/>
      <c r="E736" s="1765"/>
      <c r="F736" s="1765"/>
      <c r="G736" s="1765"/>
    </row>
    <row r="737" spans="1:7" x14ac:dyDescent="0.25">
      <c r="A737" s="1765" t="s">
        <v>1769</v>
      </c>
      <c r="B737" s="1765"/>
      <c r="C737" s="1765"/>
      <c r="D737" s="1765"/>
      <c r="E737" s="1765"/>
      <c r="F737" s="1765"/>
      <c r="G737" s="1765"/>
    </row>
    <row r="738" spans="1:7" x14ac:dyDescent="0.25">
      <c r="A738" s="184"/>
      <c r="B738" s="184"/>
      <c r="C738" s="184"/>
      <c r="D738" s="184"/>
      <c r="E738" s="184"/>
      <c r="F738" s="184"/>
      <c r="G738" s="185"/>
    </row>
    <row r="739" spans="1:7" x14ac:dyDescent="0.25">
      <c r="A739" s="186" t="s">
        <v>246</v>
      </c>
      <c r="B739" s="187" t="s">
        <v>3</v>
      </c>
      <c r="C739" s="188"/>
      <c r="D739" s="189"/>
      <c r="E739" s="190"/>
      <c r="F739" s="191"/>
      <c r="G739" s="188"/>
    </row>
    <row r="740" spans="1:7" ht="36.75" x14ac:dyDescent="0.25">
      <c r="A740" s="192" t="s">
        <v>247</v>
      </c>
      <c r="B740" s="187" t="s">
        <v>5</v>
      </c>
      <c r="C740" s="188"/>
      <c r="D740" s="189"/>
      <c r="E740" s="227" t="s">
        <v>6</v>
      </c>
      <c r="F740" s="191"/>
      <c r="G740" s="188"/>
    </row>
    <row r="741" spans="1:7" ht="24.75" x14ac:dyDescent="0.25">
      <c r="A741" s="192" t="s">
        <v>7</v>
      </c>
      <c r="B741" s="187" t="s">
        <v>1430</v>
      </c>
      <c r="C741" s="188"/>
      <c r="D741" s="189"/>
      <c r="E741" s="195" t="s">
        <v>9</v>
      </c>
      <c r="F741" s="196"/>
      <c r="G741" s="188"/>
    </row>
    <row r="742" spans="1:7" x14ac:dyDescent="0.25">
      <c r="A742" s="221" t="s">
        <v>37</v>
      </c>
      <c r="B742" s="187" t="s">
        <v>1849</v>
      </c>
      <c r="C742" s="188"/>
      <c r="D742" s="189"/>
      <c r="E742" s="190"/>
      <c r="F742" s="191"/>
      <c r="G742" s="188"/>
    </row>
    <row r="743" spans="1:7" x14ac:dyDescent="0.25">
      <c r="A743" s="192" t="s">
        <v>10</v>
      </c>
      <c r="B743" s="187"/>
      <c r="C743" s="188"/>
      <c r="D743" s="189"/>
      <c r="E743" s="190"/>
      <c r="F743" s="191"/>
      <c r="G743" s="188"/>
    </row>
    <row r="744" spans="1:7" x14ac:dyDescent="0.25">
      <c r="A744" s="192"/>
      <c r="B744" s="187"/>
      <c r="C744" s="188"/>
      <c r="D744" s="189"/>
      <c r="E744" s="190"/>
      <c r="F744" s="191"/>
      <c r="G744" s="188"/>
    </row>
    <row r="745" spans="1:7" ht="24" x14ac:dyDescent="0.25">
      <c r="A745" s="197" t="s">
        <v>30</v>
      </c>
      <c r="B745" s="198" t="s">
        <v>31</v>
      </c>
      <c r="C745" s="1773" t="s">
        <v>12</v>
      </c>
      <c r="D745" s="1774"/>
      <c r="E745" s="198" t="s">
        <v>32</v>
      </c>
      <c r="F745" s="199" t="s">
        <v>33</v>
      </c>
      <c r="G745" s="197" t="s">
        <v>34</v>
      </c>
    </row>
    <row r="746" spans="1:7" x14ac:dyDescent="0.25">
      <c r="A746" s="200">
        <v>1</v>
      </c>
      <c r="B746" s="200">
        <v>2</v>
      </c>
      <c r="C746" s="1789">
        <v>3</v>
      </c>
      <c r="D746" s="1789"/>
      <c r="E746" s="201">
        <v>4</v>
      </c>
      <c r="F746" s="202">
        <v>5</v>
      </c>
      <c r="G746" s="202">
        <v>6</v>
      </c>
    </row>
    <row r="747" spans="1:7" x14ac:dyDescent="0.25">
      <c r="A747" s="203" t="s">
        <v>540</v>
      </c>
      <c r="B747" s="204" t="s">
        <v>16</v>
      </c>
      <c r="C747" s="205"/>
      <c r="D747" s="206"/>
      <c r="E747" s="207"/>
      <c r="F747" s="208"/>
      <c r="G747" s="207"/>
    </row>
    <row r="748" spans="1:7" ht="24" x14ac:dyDescent="0.25">
      <c r="A748" s="203" t="s">
        <v>541</v>
      </c>
      <c r="B748" s="204" t="s">
        <v>2706</v>
      </c>
      <c r="C748" s="210"/>
      <c r="D748" s="211"/>
      <c r="E748" s="207"/>
      <c r="F748" s="208"/>
      <c r="G748" s="207"/>
    </row>
    <row r="749" spans="1:7" ht="24" x14ac:dyDescent="0.25">
      <c r="A749" s="212" t="s">
        <v>2705</v>
      </c>
      <c r="B749" s="204" t="s">
        <v>2706</v>
      </c>
      <c r="C749" s="210"/>
      <c r="D749" s="211"/>
      <c r="E749" s="207"/>
      <c r="F749" s="208"/>
      <c r="G749" s="207"/>
    </row>
    <row r="750" spans="1:7" x14ac:dyDescent="0.25">
      <c r="A750" s="212"/>
      <c r="B750" s="213" t="s">
        <v>1431</v>
      </c>
      <c r="C750" s="214">
        <v>12</v>
      </c>
      <c r="D750" s="206" t="s">
        <v>543</v>
      </c>
      <c r="E750" s="215">
        <v>500000</v>
      </c>
      <c r="F750" s="216">
        <f>C750*E750</f>
        <v>6000000</v>
      </c>
      <c r="G750" s="217"/>
    </row>
    <row r="751" spans="1:7" x14ac:dyDescent="0.25">
      <c r="A751" s="212"/>
      <c r="B751" s="213" t="s">
        <v>1432</v>
      </c>
      <c r="C751" s="214">
        <v>36</v>
      </c>
      <c r="D751" s="206" t="s">
        <v>127</v>
      </c>
      <c r="E751" s="215">
        <v>300000</v>
      </c>
      <c r="F751" s="216">
        <f>C751*E751</f>
        <v>10800000</v>
      </c>
      <c r="G751" s="217"/>
    </row>
    <row r="752" spans="1:7" x14ac:dyDescent="0.25">
      <c r="A752" s="212"/>
      <c r="B752" s="213" t="s">
        <v>1433</v>
      </c>
      <c r="C752" s="214">
        <v>36</v>
      </c>
      <c r="D752" s="206" t="s">
        <v>127</v>
      </c>
      <c r="E752" s="215">
        <v>300000</v>
      </c>
      <c r="F752" s="216">
        <f>C752*E752</f>
        <v>10800000</v>
      </c>
      <c r="G752" s="217"/>
    </row>
    <row r="753" spans="1:14" x14ac:dyDescent="0.25">
      <c r="A753" s="212"/>
      <c r="B753" s="213" t="s">
        <v>1434</v>
      </c>
      <c r="C753" s="214">
        <v>96</v>
      </c>
      <c r="D753" s="206" t="s">
        <v>127</v>
      </c>
      <c r="E753" s="215">
        <v>300000</v>
      </c>
      <c r="F753" s="216">
        <f>C753*E753</f>
        <v>28800000</v>
      </c>
      <c r="G753" s="217"/>
    </row>
    <row r="754" spans="1:14" x14ac:dyDescent="0.25">
      <c r="A754" s="212"/>
      <c r="B754" s="213"/>
      <c r="C754" s="214"/>
      <c r="D754" s="206"/>
      <c r="E754" s="215"/>
      <c r="F754" s="216"/>
      <c r="G754" s="217"/>
    </row>
    <row r="755" spans="1:14" x14ac:dyDescent="0.25">
      <c r="A755" s="256"/>
      <c r="B755" s="213"/>
      <c r="C755" s="243"/>
      <c r="D755" s="244"/>
      <c r="E755" s="231"/>
      <c r="F755" s="252"/>
      <c r="G755" s="217"/>
    </row>
    <row r="756" spans="1:14" x14ac:dyDescent="0.25">
      <c r="A756" s="217"/>
      <c r="B756" s="217"/>
      <c r="C756" s="243"/>
      <c r="D756" s="249"/>
      <c r="E756" s="215"/>
      <c r="F756" s="215"/>
      <c r="G756" s="217"/>
    </row>
    <row r="757" spans="1:14" ht="24.75" x14ac:dyDescent="0.25">
      <c r="A757" s="1791" t="s">
        <v>26</v>
      </c>
      <c r="B757" s="1792"/>
      <c r="C757" s="1792"/>
      <c r="D757" s="1792"/>
      <c r="E757" s="1793"/>
      <c r="F757" s="215">
        <f>SUM(F750:F756)</f>
        <v>56400000</v>
      </c>
      <c r="G757" s="213" t="s">
        <v>2591</v>
      </c>
      <c r="H757" s="36"/>
      <c r="N757" s="36">
        <f>F757</f>
        <v>56400000</v>
      </c>
    </row>
    <row r="759" spans="1:14" x14ac:dyDescent="0.25">
      <c r="A759" s="1762" t="s">
        <v>549</v>
      </c>
      <c r="B759" s="1762"/>
      <c r="C759" s="188" t="s">
        <v>27</v>
      </c>
      <c r="D759" s="1763" t="s">
        <v>1426</v>
      </c>
      <c r="E759" s="1763"/>
      <c r="F759" s="1763"/>
      <c r="G759" s="188"/>
    </row>
    <row r="760" spans="1:14" x14ac:dyDescent="0.25">
      <c r="A760" s="1762" t="s">
        <v>28</v>
      </c>
      <c r="B760" s="1762"/>
      <c r="C760" s="188"/>
      <c r="D760" s="1764" t="s">
        <v>2832</v>
      </c>
      <c r="E760" s="1764"/>
      <c r="F760" s="1764"/>
      <c r="G760" s="188"/>
      <c r="H760" s="36"/>
    </row>
    <row r="761" spans="1:14" x14ac:dyDescent="0.25">
      <c r="A761" s="186"/>
      <c r="B761" s="187"/>
      <c r="C761" s="188"/>
      <c r="D761" s="189"/>
      <c r="E761" s="218"/>
      <c r="F761" s="218"/>
      <c r="G761" s="188"/>
    </row>
    <row r="762" spans="1:14" x14ac:dyDescent="0.25">
      <c r="A762" s="186"/>
      <c r="B762" s="187"/>
      <c r="C762" s="188"/>
      <c r="D762" s="189"/>
      <c r="E762" s="218"/>
      <c r="F762" s="218"/>
      <c r="G762" s="188"/>
    </row>
    <row r="763" spans="1:14" x14ac:dyDescent="0.25">
      <c r="A763" s="1762"/>
      <c r="B763" s="1762"/>
      <c r="C763" s="188"/>
      <c r="D763" s="189"/>
      <c r="E763" s="1762"/>
      <c r="F763" s="1762"/>
      <c r="G763" s="188"/>
    </row>
    <row r="764" spans="1:14" x14ac:dyDescent="0.25">
      <c r="A764" s="1762" t="s">
        <v>29</v>
      </c>
      <c r="B764" s="1762"/>
      <c r="C764" s="188"/>
      <c r="D764" s="1762" t="s">
        <v>2989</v>
      </c>
      <c r="E764" s="1762"/>
      <c r="F764" s="1762"/>
      <c r="G764" s="188"/>
    </row>
    <row r="765" spans="1:14" x14ac:dyDescent="0.25">
      <c r="A765" s="260"/>
      <c r="B765" s="260"/>
      <c r="C765" s="188"/>
      <c r="D765" s="260"/>
      <c r="E765" s="260"/>
      <c r="F765" s="260"/>
      <c r="G765" s="188"/>
    </row>
    <row r="766" spans="1:14" x14ac:dyDescent="0.25">
      <c r="A766" s="1765" t="s">
        <v>0</v>
      </c>
      <c r="B766" s="1765"/>
      <c r="C766" s="1765"/>
      <c r="D766" s="1765"/>
      <c r="E766" s="1765"/>
      <c r="F766" s="1765"/>
      <c r="G766" s="1765"/>
    </row>
    <row r="767" spans="1:14" x14ac:dyDescent="0.25">
      <c r="A767" s="1765" t="s">
        <v>1</v>
      </c>
      <c r="B767" s="1765"/>
      <c r="C767" s="1765"/>
      <c r="D767" s="1765"/>
      <c r="E767" s="1765"/>
      <c r="F767" s="1765"/>
      <c r="G767" s="1765"/>
    </row>
    <row r="768" spans="1:14" x14ac:dyDescent="0.25">
      <c r="A768" s="1765" t="s">
        <v>1769</v>
      </c>
      <c r="B768" s="1765"/>
      <c r="C768" s="1765"/>
      <c r="D768" s="1765"/>
      <c r="E768" s="1765"/>
      <c r="F768" s="1765"/>
      <c r="G768" s="1765"/>
    </row>
    <row r="769" spans="1:11" x14ac:dyDescent="0.25">
      <c r="A769" s="184"/>
      <c r="B769" s="184"/>
      <c r="C769" s="184"/>
      <c r="D769" s="184"/>
      <c r="E769" s="184"/>
      <c r="F769" s="184"/>
      <c r="G769" s="185"/>
    </row>
    <row r="770" spans="1:11" x14ac:dyDescent="0.25">
      <c r="A770" s="186" t="s">
        <v>246</v>
      </c>
      <c r="B770" s="187" t="s">
        <v>3</v>
      </c>
      <c r="C770" s="188"/>
      <c r="D770" s="189"/>
      <c r="E770" s="227" t="s">
        <v>6</v>
      </c>
      <c r="F770" s="191"/>
      <c r="G770" s="188"/>
    </row>
    <row r="771" spans="1:11" x14ac:dyDescent="0.25">
      <c r="A771" s="192" t="s">
        <v>247</v>
      </c>
      <c r="B771" s="187" t="s">
        <v>420</v>
      </c>
      <c r="C771" s="188"/>
      <c r="D771" s="189"/>
      <c r="E771" s="195" t="s">
        <v>9</v>
      </c>
      <c r="G771" s="188"/>
    </row>
    <row r="772" spans="1:11" ht="24.75" x14ac:dyDescent="0.25">
      <c r="A772" s="192" t="s">
        <v>7</v>
      </c>
      <c r="B772" s="187" t="s">
        <v>421</v>
      </c>
      <c r="C772" s="188"/>
      <c r="D772" s="189"/>
      <c r="E772" s="195"/>
      <c r="G772" s="188"/>
    </row>
    <row r="773" spans="1:11" x14ac:dyDescent="0.25">
      <c r="A773" s="221" t="s">
        <v>422</v>
      </c>
      <c r="B773" s="187" t="s">
        <v>435</v>
      </c>
      <c r="C773" s="188"/>
      <c r="D773" s="189"/>
      <c r="E773" s="195"/>
      <c r="F773" s="191"/>
      <c r="G773" s="188"/>
    </row>
    <row r="774" spans="1:11" x14ac:dyDescent="0.25">
      <c r="A774" s="192" t="s">
        <v>10</v>
      </c>
      <c r="B774" s="187"/>
      <c r="C774" s="188"/>
      <c r="D774" s="189"/>
      <c r="E774" s="190"/>
      <c r="F774" s="191"/>
      <c r="G774" s="188"/>
    </row>
    <row r="775" spans="1:11" ht="24" x14ac:dyDescent="0.25">
      <c r="A775" s="197" t="s">
        <v>30</v>
      </c>
      <c r="B775" s="198" t="s">
        <v>31</v>
      </c>
      <c r="C775" s="1773" t="s">
        <v>12</v>
      </c>
      <c r="D775" s="1774"/>
      <c r="E775" s="198" t="s">
        <v>32</v>
      </c>
      <c r="F775" s="199" t="s">
        <v>33</v>
      </c>
      <c r="G775" s="197" t="s">
        <v>34</v>
      </c>
    </row>
    <row r="776" spans="1:11" x14ac:dyDescent="0.25">
      <c r="A776" s="200">
        <v>1</v>
      </c>
      <c r="B776" s="200">
        <v>2</v>
      </c>
      <c r="C776" s="1789">
        <v>3</v>
      </c>
      <c r="D776" s="1789"/>
      <c r="E776" s="201">
        <v>4</v>
      </c>
      <c r="F776" s="202">
        <v>5</v>
      </c>
      <c r="G776" s="202">
        <v>6</v>
      </c>
    </row>
    <row r="777" spans="1:11" x14ac:dyDescent="0.25">
      <c r="A777" s="212" t="s">
        <v>423</v>
      </c>
      <c r="B777" s="238" t="s">
        <v>424</v>
      </c>
      <c r="C777" s="205"/>
      <c r="D777" s="206"/>
      <c r="E777" s="197"/>
      <c r="F777" s="370"/>
      <c r="G777" s="197"/>
    </row>
    <row r="778" spans="1:11" ht="24" x14ac:dyDescent="0.25">
      <c r="A778" s="212" t="s">
        <v>425</v>
      </c>
      <c r="B778" s="238" t="s">
        <v>426</v>
      </c>
      <c r="C778" s="205"/>
      <c r="D778" s="206"/>
      <c r="E778" s="197"/>
      <c r="F778" s="370"/>
      <c r="G778" s="197"/>
    </row>
    <row r="779" spans="1:11" ht="24" x14ac:dyDescent="0.25">
      <c r="A779" s="212" t="s">
        <v>427</v>
      </c>
      <c r="B779" s="238" t="s">
        <v>428</v>
      </c>
      <c r="C779" s="205"/>
      <c r="D779" s="206"/>
      <c r="E779" s="197"/>
      <c r="F779" s="370"/>
      <c r="G779" s="197"/>
    </row>
    <row r="780" spans="1:11" x14ac:dyDescent="0.25">
      <c r="A780" s="212"/>
      <c r="B780" s="238" t="s">
        <v>429</v>
      </c>
      <c r="C780" s="205">
        <v>1</v>
      </c>
      <c r="D780" s="206" t="s">
        <v>473</v>
      </c>
      <c r="E780" s="259">
        <v>300000</v>
      </c>
      <c r="F780" s="370">
        <f>E780*C780</f>
        <v>300000</v>
      </c>
      <c r="G780" s="213" t="s">
        <v>1845</v>
      </c>
      <c r="K780" s="32">
        <f t="shared" ref="K780:K785" si="14">F780</f>
        <v>300000</v>
      </c>
    </row>
    <row r="781" spans="1:11" x14ac:dyDescent="0.25">
      <c r="A781" s="212"/>
      <c r="B781" s="238" t="s">
        <v>189</v>
      </c>
      <c r="C781" s="205">
        <v>1</v>
      </c>
      <c r="D781" s="206" t="s">
        <v>473</v>
      </c>
      <c r="E781" s="259">
        <v>250000</v>
      </c>
      <c r="F781" s="370">
        <f>E781*C781</f>
        <v>250000</v>
      </c>
      <c r="G781" s="213" t="s">
        <v>1845</v>
      </c>
      <c r="K781" s="32">
        <f t="shared" si="14"/>
        <v>250000</v>
      </c>
    </row>
    <row r="782" spans="1:11" x14ac:dyDescent="0.25">
      <c r="A782" s="212"/>
      <c r="B782" s="238" t="s">
        <v>352</v>
      </c>
      <c r="C782" s="205">
        <v>3</v>
      </c>
      <c r="D782" s="206" t="s">
        <v>473</v>
      </c>
      <c r="E782" s="259">
        <v>200000</v>
      </c>
      <c r="F782" s="370">
        <f>E782*C782</f>
        <v>600000</v>
      </c>
      <c r="G782" s="213" t="s">
        <v>1845</v>
      </c>
      <c r="K782" s="32">
        <f t="shared" si="14"/>
        <v>600000</v>
      </c>
    </row>
    <row r="783" spans="1:11" x14ac:dyDescent="0.25">
      <c r="A783" s="212"/>
      <c r="B783" s="238"/>
      <c r="C783" s="205"/>
      <c r="D783" s="206"/>
      <c r="E783" s="259"/>
      <c r="F783" s="370"/>
      <c r="G783" s="197"/>
      <c r="K783" s="32">
        <f t="shared" si="14"/>
        <v>0</v>
      </c>
    </row>
    <row r="784" spans="1:11" x14ac:dyDescent="0.25">
      <c r="A784" s="251"/>
      <c r="B784" s="371"/>
      <c r="C784" s="372"/>
      <c r="D784" s="373"/>
      <c r="E784" s="251"/>
      <c r="F784" s="252"/>
      <c r="G784" s="251"/>
      <c r="K784" s="32">
        <f t="shared" si="14"/>
        <v>0</v>
      </c>
    </row>
    <row r="785" spans="1:23" ht="24.75" x14ac:dyDescent="0.25">
      <c r="A785" s="212" t="s">
        <v>430</v>
      </c>
      <c r="B785" s="213" t="s">
        <v>431</v>
      </c>
      <c r="C785" s="243"/>
      <c r="D785" s="206"/>
      <c r="E785" s="217"/>
      <c r="F785" s="368"/>
      <c r="G785" s="217"/>
      <c r="K785" s="32">
        <f t="shared" si="14"/>
        <v>0</v>
      </c>
    </row>
    <row r="786" spans="1:23" ht="36.75" x14ac:dyDescent="0.25">
      <c r="A786" s="212"/>
      <c r="B786" s="213" t="s">
        <v>2920</v>
      </c>
      <c r="C786" s="243">
        <v>1</v>
      </c>
      <c r="D786" s="206" t="s">
        <v>229</v>
      </c>
      <c r="E786" s="1304">
        <v>1249100.75</v>
      </c>
      <c r="F786" s="368">
        <f>E786*C786</f>
        <v>1249100.75</v>
      </c>
      <c r="G786" s="213" t="s">
        <v>2574</v>
      </c>
      <c r="H786" s="32"/>
      <c r="K786" s="32"/>
      <c r="W786" s="32">
        <f>F786</f>
        <v>1249100.75</v>
      </c>
    </row>
    <row r="787" spans="1:23" x14ac:dyDescent="0.25">
      <c r="A787" s="212"/>
      <c r="B787" s="213" t="s">
        <v>2658</v>
      </c>
      <c r="C787" s="243">
        <v>1</v>
      </c>
      <c r="D787" s="206" t="s">
        <v>178</v>
      </c>
      <c r="E787" s="1304">
        <v>9700000</v>
      </c>
      <c r="F787" s="368">
        <f>E787*C787</f>
        <v>9700000</v>
      </c>
      <c r="G787" s="213" t="s">
        <v>1417</v>
      </c>
      <c r="K787" s="32"/>
      <c r="P787" s="32">
        <f>F787</f>
        <v>9700000</v>
      </c>
    </row>
    <row r="788" spans="1:23" x14ac:dyDescent="0.25">
      <c r="A788" s="212"/>
      <c r="B788" s="213" t="s">
        <v>2659</v>
      </c>
      <c r="C788" s="243">
        <v>1</v>
      </c>
      <c r="D788" s="206" t="s">
        <v>178</v>
      </c>
      <c r="E788" s="1304">
        <v>5200000</v>
      </c>
      <c r="F788" s="368">
        <f>E788*C788</f>
        <v>5200000</v>
      </c>
      <c r="G788" s="213" t="s">
        <v>1417</v>
      </c>
      <c r="K788" s="32"/>
      <c r="P788" s="32">
        <f>F788</f>
        <v>5200000</v>
      </c>
    </row>
    <row r="789" spans="1:23" x14ac:dyDescent="0.25">
      <c r="A789" s="212"/>
      <c r="B789" s="213" t="s">
        <v>2845</v>
      </c>
      <c r="C789" s="214">
        <v>2</v>
      </c>
      <c r="D789" s="206" t="s">
        <v>115</v>
      </c>
      <c r="E789" s="215">
        <v>3000000</v>
      </c>
      <c r="F789" s="252">
        <f>E789*C789</f>
        <v>6000000</v>
      </c>
      <c r="G789" s="213" t="s">
        <v>1417</v>
      </c>
      <c r="K789" s="32"/>
      <c r="P789" s="32">
        <f>F789</f>
        <v>6000000</v>
      </c>
    </row>
    <row r="790" spans="1:23" ht="24.75" x14ac:dyDescent="0.25">
      <c r="A790" s="212"/>
      <c r="B790" s="213" t="s">
        <v>2918</v>
      </c>
      <c r="C790" s="214">
        <v>1</v>
      </c>
      <c r="D790" s="206" t="s">
        <v>115</v>
      </c>
      <c r="E790" s="215">
        <v>6000000</v>
      </c>
      <c r="F790" s="252">
        <f>E790*C790</f>
        <v>6000000</v>
      </c>
      <c r="G790" s="213" t="s">
        <v>2568</v>
      </c>
      <c r="K790" s="32"/>
      <c r="P790" s="32"/>
      <c r="Q790" s="32">
        <f>F790</f>
        <v>6000000</v>
      </c>
    </row>
    <row r="791" spans="1:23" ht="24.75" x14ac:dyDescent="0.25">
      <c r="A791" s="212"/>
      <c r="B791" s="213" t="s">
        <v>2614</v>
      </c>
      <c r="C791" s="214">
        <v>1</v>
      </c>
      <c r="D791" s="206" t="s">
        <v>115</v>
      </c>
      <c r="E791" s="215">
        <v>25000000</v>
      </c>
      <c r="F791" s="252">
        <f t="shared" ref="F791:F799" si="15">E791*C791</f>
        <v>25000000</v>
      </c>
      <c r="G791" s="213" t="s">
        <v>2568</v>
      </c>
      <c r="K791" s="32"/>
      <c r="Q791" s="32">
        <f>F791</f>
        <v>25000000</v>
      </c>
    </row>
    <row r="792" spans="1:23" ht="24.75" x14ac:dyDescent="0.25">
      <c r="A792" s="212"/>
      <c r="B792" s="213" t="s">
        <v>1850</v>
      </c>
      <c r="C792" s="214">
        <v>3</v>
      </c>
      <c r="D792" s="206" t="s">
        <v>115</v>
      </c>
      <c r="E792" s="215">
        <v>12000000</v>
      </c>
      <c r="F792" s="252">
        <f t="shared" si="15"/>
        <v>36000000</v>
      </c>
      <c r="G792" s="213" t="s">
        <v>2571</v>
      </c>
      <c r="H792" s="32"/>
      <c r="K792" s="32"/>
      <c r="T792" s="32">
        <f>F792</f>
        <v>36000000</v>
      </c>
    </row>
    <row r="793" spans="1:23" x14ac:dyDescent="0.25">
      <c r="A793" s="212"/>
      <c r="B793" s="213" t="s">
        <v>2613</v>
      </c>
      <c r="C793" s="214">
        <v>1</v>
      </c>
      <c r="D793" s="206" t="s">
        <v>115</v>
      </c>
      <c r="E793" s="215">
        <v>9568000</v>
      </c>
      <c r="F793" s="252">
        <f t="shared" si="15"/>
        <v>9568000</v>
      </c>
      <c r="G793" s="213" t="s">
        <v>1417</v>
      </c>
      <c r="H793" s="32"/>
      <c r="K793" s="32"/>
      <c r="P793" s="32">
        <f>F793</f>
        <v>9568000</v>
      </c>
    </row>
    <row r="794" spans="1:23" ht="36.75" x14ac:dyDescent="0.25">
      <c r="A794" s="212"/>
      <c r="B794" s="213" t="s">
        <v>2846</v>
      </c>
      <c r="C794" s="214">
        <v>2</v>
      </c>
      <c r="D794" s="206" t="s">
        <v>115</v>
      </c>
      <c r="E794" s="215">
        <v>5000000</v>
      </c>
      <c r="F794" s="252">
        <f t="shared" si="15"/>
        <v>10000000</v>
      </c>
      <c r="G794" s="213" t="s">
        <v>2574</v>
      </c>
      <c r="H794" s="32"/>
      <c r="K794" s="32"/>
      <c r="P794" s="32"/>
      <c r="W794" s="32">
        <f>F794</f>
        <v>10000000</v>
      </c>
    </row>
    <row r="795" spans="1:23" ht="24.75" x14ac:dyDescent="0.25">
      <c r="A795" s="212" t="s">
        <v>432</v>
      </c>
      <c r="B795" s="213" t="s">
        <v>433</v>
      </c>
      <c r="C795" s="214"/>
      <c r="D795" s="206"/>
      <c r="E795" s="231"/>
      <c r="F795" s="252"/>
      <c r="G795" s="199"/>
      <c r="H795" s="32"/>
      <c r="K795" s="32">
        <f>F795</f>
        <v>0</v>
      </c>
    </row>
    <row r="796" spans="1:23" x14ac:dyDescent="0.25">
      <c r="A796" s="212"/>
      <c r="B796" s="213" t="s">
        <v>2611</v>
      </c>
      <c r="C796" s="214">
        <v>1</v>
      </c>
      <c r="D796" s="206" t="s">
        <v>115</v>
      </c>
      <c r="E796" s="231">
        <v>10500000</v>
      </c>
      <c r="F796" s="252">
        <f>E796*C796</f>
        <v>10500000</v>
      </c>
      <c r="G796" s="213" t="s">
        <v>1417</v>
      </c>
      <c r="K796" s="32"/>
      <c r="P796" s="32">
        <f>F796</f>
        <v>10500000</v>
      </c>
    </row>
    <row r="797" spans="1:23" x14ac:dyDescent="0.25">
      <c r="A797" s="212"/>
      <c r="B797" s="213" t="s">
        <v>2612</v>
      </c>
      <c r="C797" s="214">
        <v>1</v>
      </c>
      <c r="D797" s="206" t="s">
        <v>138</v>
      </c>
      <c r="E797" s="231">
        <v>7875000</v>
      </c>
      <c r="F797" s="252">
        <f>E797*C797</f>
        <v>7875000</v>
      </c>
      <c r="G797" s="213" t="s">
        <v>1417</v>
      </c>
      <c r="K797" s="32"/>
      <c r="P797" s="32">
        <f>F797</f>
        <v>7875000</v>
      </c>
    </row>
    <row r="798" spans="1:23" x14ac:dyDescent="0.25">
      <c r="A798" s="212"/>
      <c r="B798" s="213" t="s">
        <v>1851</v>
      </c>
      <c r="C798" s="214">
        <v>1</v>
      </c>
      <c r="D798" s="206" t="s">
        <v>229</v>
      </c>
      <c r="E798" s="231">
        <v>2940000</v>
      </c>
      <c r="F798" s="252">
        <f t="shared" si="15"/>
        <v>2940000</v>
      </c>
      <c r="G798" s="213" t="s">
        <v>1417</v>
      </c>
      <c r="J798" s="32"/>
      <c r="K798" s="32"/>
      <c r="P798" s="32">
        <f>F798</f>
        <v>2940000</v>
      </c>
    </row>
    <row r="799" spans="1:23" x14ac:dyDescent="0.25">
      <c r="A799" s="212"/>
      <c r="B799" s="213" t="s">
        <v>2929</v>
      </c>
      <c r="C799" s="214">
        <v>1</v>
      </c>
      <c r="D799" s="206" t="s">
        <v>178</v>
      </c>
      <c r="E799" s="231">
        <v>4800000</v>
      </c>
      <c r="F799" s="252">
        <f t="shared" si="15"/>
        <v>4800000</v>
      </c>
      <c r="G799" s="213" t="s">
        <v>1409</v>
      </c>
      <c r="J799" s="32">
        <f>F799</f>
        <v>4800000</v>
      </c>
      <c r="K799" s="32"/>
      <c r="P799" s="32"/>
      <c r="S799" s="32"/>
    </row>
    <row r="800" spans="1:23" x14ac:dyDescent="0.25">
      <c r="A800" s="212"/>
      <c r="B800" s="213"/>
      <c r="C800" s="214"/>
      <c r="D800" s="206"/>
      <c r="E800" s="231"/>
      <c r="F800" s="252"/>
      <c r="G800" s="199"/>
      <c r="J800" s="32"/>
    </row>
    <row r="801" spans="1:11" x14ac:dyDescent="0.25">
      <c r="A801" s="1790" t="s">
        <v>434</v>
      </c>
      <c r="B801" s="1790"/>
      <c r="C801" s="1790"/>
      <c r="D801" s="1790"/>
      <c r="E801" s="1790"/>
      <c r="F801" s="252">
        <f>SUM(F777:F800)</f>
        <v>135982100.75</v>
      </c>
      <c r="G801" s="213"/>
      <c r="K801" s="32"/>
    </row>
    <row r="802" spans="1:11" x14ac:dyDescent="0.25">
      <c r="A802" s="1762" t="s">
        <v>549</v>
      </c>
      <c r="B802" s="1762"/>
      <c r="C802" s="188" t="s">
        <v>27</v>
      </c>
      <c r="D802" s="1763" t="s">
        <v>1426</v>
      </c>
      <c r="E802" s="1763"/>
      <c r="F802" s="1763"/>
      <c r="G802" s="188"/>
    </row>
    <row r="803" spans="1:11" x14ac:dyDescent="0.25">
      <c r="A803" s="1762" t="s">
        <v>28</v>
      </c>
      <c r="B803" s="1762"/>
      <c r="C803" s="188"/>
      <c r="D803" s="1764" t="s">
        <v>2832</v>
      </c>
      <c r="E803" s="1764"/>
      <c r="F803" s="1764"/>
      <c r="G803" s="188"/>
      <c r="H803" s="36"/>
    </row>
    <row r="804" spans="1:11" x14ac:dyDescent="0.25">
      <c r="A804" s="186"/>
      <c r="B804" s="187"/>
      <c r="C804" s="188"/>
      <c r="D804" s="189"/>
      <c r="E804" s="218"/>
      <c r="F804" s="218"/>
      <c r="G804" s="188"/>
    </row>
    <row r="805" spans="1:11" x14ac:dyDescent="0.25">
      <c r="A805" s="186"/>
      <c r="B805" s="187"/>
      <c r="C805" s="188"/>
      <c r="D805" s="189"/>
      <c r="E805" s="218"/>
      <c r="F805" s="218"/>
      <c r="G805" s="188"/>
    </row>
    <row r="806" spans="1:11" x14ac:dyDescent="0.25">
      <c r="A806" s="1762"/>
      <c r="B806" s="1762"/>
      <c r="C806" s="188"/>
      <c r="D806" s="189"/>
      <c r="E806" s="1762"/>
      <c r="F806" s="1762"/>
      <c r="G806" s="188"/>
    </row>
    <row r="807" spans="1:11" x14ac:dyDescent="0.25">
      <c r="A807" s="1762" t="s">
        <v>29</v>
      </c>
      <c r="B807" s="1762"/>
      <c r="C807" s="188"/>
      <c r="D807" s="1762" t="s">
        <v>2989</v>
      </c>
      <c r="E807" s="1762"/>
      <c r="F807" s="1762"/>
      <c r="G807" s="188"/>
    </row>
    <row r="808" spans="1:11" x14ac:dyDescent="0.25">
      <c r="A808" s="1796" t="s">
        <v>0</v>
      </c>
      <c r="B808" s="1796"/>
      <c r="C808" s="1796"/>
      <c r="D808" s="1796"/>
      <c r="E808" s="1796"/>
      <c r="F808" s="1796"/>
      <c r="G808" s="1796"/>
    </row>
    <row r="809" spans="1:11" x14ac:dyDescent="0.25">
      <c r="A809" s="1796" t="s">
        <v>1</v>
      </c>
      <c r="B809" s="1796"/>
      <c r="C809" s="1796"/>
      <c r="D809" s="1796"/>
      <c r="E809" s="1796"/>
      <c r="F809" s="1796"/>
      <c r="G809" s="1796"/>
    </row>
    <row r="810" spans="1:11" x14ac:dyDescent="0.25">
      <c r="A810" s="1796" t="s">
        <v>1769</v>
      </c>
      <c r="B810" s="1796"/>
      <c r="C810" s="1796"/>
      <c r="D810" s="1796"/>
      <c r="E810" s="1796"/>
      <c r="F810" s="1796"/>
      <c r="G810" s="1796"/>
    </row>
    <row r="811" spans="1:11" x14ac:dyDescent="0.25">
      <c r="A811" s="374"/>
      <c r="B811" s="375"/>
      <c r="C811" s="376"/>
      <c r="D811" s="376"/>
      <c r="E811" s="377"/>
      <c r="F811" s="377"/>
      <c r="G811" s="377"/>
    </row>
    <row r="812" spans="1:11" x14ac:dyDescent="0.25">
      <c r="A812" s="377" t="s">
        <v>1483</v>
      </c>
      <c r="B812" s="378" t="s">
        <v>911</v>
      </c>
      <c r="C812" s="379"/>
      <c r="D812" s="379"/>
      <c r="E812" s="380"/>
      <c r="F812" s="380"/>
      <c r="G812" s="377"/>
    </row>
    <row r="813" spans="1:11" x14ac:dyDescent="0.25">
      <c r="A813" s="381" t="s">
        <v>712</v>
      </c>
      <c r="B813" s="382" t="s">
        <v>2419</v>
      </c>
      <c r="C813" s="379"/>
      <c r="D813" s="379"/>
      <c r="E813" s="380" t="s">
        <v>1484</v>
      </c>
      <c r="F813" s="380"/>
      <c r="G813" s="377"/>
    </row>
    <row r="814" spans="1:11" ht="45" x14ac:dyDescent="0.25">
      <c r="A814" s="383" t="s">
        <v>749</v>
      </c>
      <c r="B814" s="384" t="s">
        <v>2420</v>
      </c>
      <c r="C814" s="379"/>
      <c r="D814" s="379"/>
      <c r="E814" s="380" t="s">
        <v>1485</v>
      </c>
      <c r="F814" s="380"/>
      <c r="G814" s="381"/>
    </row>
    <row r="815" spans="1:11" x14ac:dyDescent="0.25">
      <c r="A815" s="383" t="s">
        <v>1486</v>
      </c>
      <c r="B815" s="384" t="s">
        <v>2421</v>
      </c>
      <c r="C815" s="379"/>
      <c r="D815" s="379"/>
      <c r="E815" s="380"/>
      <c r="F815" s="380"/>
      <c r="G815" s="381"/>
    </row>
    <row r="816" spans="1:11" x14ac:dyDescent="0.25">
      <c r="A816" s="377" t="s">
        <v>1487</v>
      </c>
      <c r="B816" s="378" t="s">
        <v>61</v>
      </c>
      <c r="C816" s="379"/>
      <c r="D816" s="379"/>
      <c r="E816" s="377"/>
      <c r="F816" s="377"/>
      <c r="G816" s="377"/>
    </row>
    <row r="817" spans="1:8" x14ac:dyDescent="0.25">
      <c r="A817" s="381" t="s">
        <v>62</v>
      </c>
      <c r="B817" s="382" t="s">
        <v>63</v>
      </c>
      <c r="C817" s="379"/>
      <c r="D817" s="379"/>
      <c r="E817" s="381"/>
      <c r="F817" s="381"/>
      <c r="G817" s="381"/>
    </row>
    <row r="818" spans="1:8" x14ac:dyDescent="0.25">
      <c r="A818" s="385"/>
      <c r="B818" s="386"/>
      <c r="C818" s="387"/>
      <c r="D818" s="387"/>
      <c r="E818" s="385"/>
      <c r="F818" s="385"/>
      <c r="G818" s="385"/>
    </row>
    <row r="819" spans="1:8" ht="24" x14ac:dyDescent="0.25">
      <c r="A819" s="388" t="s">
        <v>30</v>
      </c>
      <c r="B819" s="388" t="s">
        <v>11</v>
      </c>
      <c r="C819" s="1787" t="s">
        <v>12</v>
      </c>
      <c r="D819" s="1788"/>
      <c r="E819" s="152" t="s">
        <v>13</v>
      </c>
      <c r="F819" s="389" t="s">
        <v>14</v>
      </c>
      <c r="G819" s="390" t="s">
        <v>266</v>
      </c>
    </row>
    <row r="820" spans="1:8" x14ac:dyDescent="0.25">
      <c r="A820" s="197">
        <v>1</v>
      </c>
      <c r="B820" s="198">
        <v>2</v>
      </c>
      <c r="C820" s="1773">
        <v>3</v>
      </c>
      <c r="D820" s="1774"/>
      <c r="E820" s="2">
        <v>4</v>
      </c>
      <c r="F820" s="205">
        <v>5</v>
      </c>
      <c r="G820" s="202">
        <v>7</v>
      </c>
    </row>
    <row r="821" spans="1:8" x14ac:dyDescent="0.25">
      <c r="A821" s="391" t="s">
        <v>2422</v>
      </c>
      <c r="B821" s="153" t="s">
        <v>424</v>
      </c>
      <c r="C821" s="154"/>
      <c r="D821" s="155"/>
      <c r="E821" s="156"/>
      <c r="F821" s="157"/>
      <c r="G821" s="202"/>
    </row>
    <row r="822" spans="1:8" x14ac:dyDescent="0.25">
      <c r="A822" s="391" t="s">
        <v>2423</v>
      </c>
      <c r="B822" s="153" t="s">
        <v>2424</v>
      </c>
      <c r="C822" s="154"/>
      <c r="D822" s="155"/>
      <c r="E822" s="156"/>
      <c r="F822" s="157"/>
      <c r="G822" s="202"/>
    </row>
    <row r="823" spans="1:8" ht="24" x14ac:dyDescent="0.25">
      <c r="A823" s="391" t="s">
        <v>2425</v>
      </c>
      <c r="B823" s="153" t="s">
        <v>2426</v>
      </c>
      <c r="C823" s="154"/>
      <c r="D823" s="155"/>
      <c r="E823" s="156"/>
      <c r="F823" s="157"/>
      <c r="G823" s="202"/>
    </row>
    <row r="824" spans="1:8" ht="24" x14ac:dyDescent="0.25">
      <c r="A824" s="391"/>
      <c r="B824" s="153" t="s">
        <v>2427</v>
      </c>
      <c r="C824" s="392"/>
      <c r="D824" s="155"/>
      <c r="E824" s="156"/>
      <c r="F824" s="157"/>
      <c r="G824" s="202"/>
    </row>
    <row r="825" spans="1:8" x14ac:dyDescent="0.25">
      <c r="A825" s="257"/>
      <c r="B825" s="158" t="s">
        <v>188</v>
      </c>
      <c r="C825" s="392">
        <v>1</v>
      </c>
      <c r="D825" s="155" t="s">
        <v>473</v>
      </c>
      <c r="E825" s="156">
        <v>300000</v>
      </c>
      <c r="F825" s="157">
        <f>E825*C825</f>
        <v>300000</v>
      </c>
      <c r="G825" s="202"/>
    </row>
    <row r="826" spans="1:8" x14ac:dyDescent="0.25">
      <c r="A826" s="257"/>
      <c r="B826" s="159" t="s">
        <v>189</v>
      </c>
      <c r="C826" s="393">
        <v>1</v>
      </c>
      <c r="D826" s="160" t="s">
        <v>473</v>
      </c>
      <c r="E826" s="161">
        <v>250000</v>
      </c>
      <c r="F826" s="157">
        <f>E826*C826</f>
        <v>250000</v>
      </c>
      <c r="G826" s="202"/>
    </row>
    <row r="827" spans="1:8" ht="15.75" thickBot="1" x14ac:dyDescent="0.3">
      <c r="A827" s="207"/>
      <c r="B827" s="159" t="s">
        <v>352</v>
      </c>
      <c r="C827" s="393">
        <v>3</v>
      </c>
      <c r="D827" s="160" t="s">
        <v>473</v>
      </c>
      <c r="E827" s="161">
        <v>200000</v>
      </c>
      <c r="F827" s="162">
        <f>E827*C827</f>
        <v>600000</v>
      </c>
      <c r="G827" s="202"/>
    </row>
    <row r="828" spans="1:8" ht="15.75" thickBot="1" x14ac:dyDescent="0.3">
      <c r="A828" s="207"/>
      <c r="B828" s="1781" t="s">
        <v>548</v>
      </c>
      <c r="C828" s="1782"/>
      <c r="D828" s="1782"/>
      <c r="E828" s="1783"/>
      <c r="F828" s="163">
        <f>SUM(F825:F827)</f>
        <v>1150000</v>
      </c>
      <c r="G828" s="202"/>
    </row>
    <row r="829" spans="1:8" x14ac:dyDescent="0.25">
      <c r="A829" s="391" t="s">
        <v>2428</v>
      </c>
      <c r="B829" s="394" t="s">
        <v>1488</v>
      </c>
      <c r="C829" s="210"/>
      <c r="D829" s="211"/>
      <c r="E829" s="207"/>
      <c r="F829" s="164"/>
      <c r="G829" s="202"/>
    </row>
    <row r="830" spans="1:8" x14ac:dyDescent="0.25">
      <c r="A830" s="391"/>
      <c r="B830" s="395" t="s">
        <v>1489</v>
      </c>
      <c r="C830" s="205">
        <v>70</v>
      </c>
      <c r="D830" s="206" t="s">
        <v>419</v>
      </c>
      <c r="E830" s="175">
        <v>143000</v>
      </c>
      <c r="F830" s="157">
        <f>E830*C830</f>
        <v>10010000</v>
      </c>
      <c r="G830" s="202"/>
    </row>
    <row r="831" spans="1:8" ht="15.75" thickBot="1" x14ac:dyDescent="0.3">
      <c r="A831" s="391"/>
      <c r="B831" s="396" t="s">
        <v>1490</v>
      </c>
      <c r="C831" s="397">
        <v>140</v>
      </c>
      <c r="D831" s="236" t="s">
        <v>419</v>
      </c>
      <c r="E831" s="174">
        <v>130000</v>
      </c>
      <c r="F831" s="162">
        <f>E831*C831</f>
        <v>18200000</v>
      </c>
      <c r="G831" s="202"/>
      <c r="H831" s="3"/>
    </row>
    <row r="832" spans="1:8" ht="15.75" thickBot="1" x14ac:dyDescent="0.3">
      <c r="A832" s="398"/>
      <c r="B832" s="1784" t="s">
        <v>548</v>
      </c>
      <c r="C832" s="1785"/>
      <c r="D832" s="1785"/>
      <c r="E832" s="1786"/>
      <c r="F832" s="163">
        <f>SUM(F830:F831)</f>
        <v>28210000</v>
      </c>
      <c r="G832" s="399"/>
      <c r="H832" s="32"/>
    </row>
    <row r="833" spans="1:10" x14ac:dyDescent="0.25">
      <c r="A833" s="391" t="s">
        <v>2429</v>
      </c>
      <c r="B833" s="360" t="s">
        <v>1491</v>
      </c>
      <c r="C833" s="210"/>
      <c r="D833" s="211"/>
      <c r="E833" s="207"/>
      <c r="F833" s="164"/>
      <c r="G833" s="202"/>
      <c r="H833" s="32"/>
    </row>
    <row r="834" spans="1:10" x14ac:dyDescent="0.25">
      <c r="A834" s="207"/>
      <c r="B834" s="213" t="s">
        <v>2430</v>
      </c>
      <c r="C834" s="205">
        <v>3000</v>
      </c>
      <c r="D834" s="206" t="s">
        <v>110</v>
      </c>
      <c r="E834" s="215">
        <v>5500</v>
      </c>
      <c r="F834" s="157">
        <f>E834*C834</f>
        <v>16500000</v>
      </c>
      <c r="G834" s="202"/>
      <c r="H834" s="32"/>
    </row>
    <row r="835" spans="1:10" x14ac:dyDescent="0.25">
      <c r="A835" s="207"/>
      <c r="B835" s="213" t="s">
        <v>1492</v>
      </c>
      <c r="C835" s="205">
        <v>5</v>
      </c>
      <c r="D835" s="206" t="s">
        <v>843</v>
      </c>
      <c r="E835" s="215">
        <v>400000</v>
      </c>
      <c r="F835" s="157">
        <f t="shared" ref="F835:F840" si="16">E835*C835</f>
        <v>2000000</v>
      </c>
      <c r="G835" s="202"/>
    </row>
    <row r="836" spans="1:10" x14ac:dyDescent="0.25">
      <c r="A836" s="207"/>
      <c r="B836" s="158" t="s">
        <v>1493</v>
      </c>
      <c r="C836" s="392">
        <v>1200</v>
      </c>
      <c r="D836" s="155" t="s">
        <v>1494</v>
      </c>
      <c r="E836" s="156">
        <v>3000</v>
      </c>
      <c r="F836" s="157">
        <f t="shared" si="16"/>
        <v>3600000</v>
      </c>
      <c r="G836" s="202"/>
    </row>
    <row r="837" spans="1:10" x14ac:dyDescent="0.25">
      <c r="A837" s="391"/>
      <c r="B837" s="158" t="s">
        <v>2431</v>
      </c>
      <c r="C837" s="392">
        <v>200</v>
      </c>
      <c r="D837" s="155" t="s">
        <v>110</v>
      </c>
      <c r="E837" s="156">
        <v>4000</v>
      </c>
      <c r="F837" s="157">
        <f t="shared" si="16"/>
        <v>800000</v>
      </c>
      <c r="G837" s="202"/>
    </row>
    <row r="838" spans="1:10" x14ac:dyDescent="0.25">
      <c r="A838" s="400"/>
      <c r="B838" s="159" t="s">
        <v>1496</v>
      </c>
      <c r="C838" s="393">
        <v>1</v>
      </c>
      <c r="D838" s="160" t="s">
        <v>110</v>
      </c>
      <c r="E838" s="161">
        <v>250000</v>
      </c>
      <c r="F838" s="162">
        <f t="shared" si="16"/>
        <v>250000</v>
      </c>
      <c r="G838" s="202"/>
    </row>
    <row r="839" spans="1:10" x14ac:dyDescent="0.25">
      <c r="A839" s="400"/>
      <c r="B839" s="159" t="s">
        <v>2432</v>
      </c>
      <c r="C839" s="393">
        <v>1</v>
      </c>
      <c r="D839" s="160" t="s">
        <v>95</v>
      </c>
      <c r="E839" s="161">
        <v>10000000</v>
      </c>
      <c r="F839" s="162">
        <f t="shared" si="16"/>
        <v>10000000</v>
      </c>
      <c r="G839" s="202"/>
    </row>
    <row r="840" spans="1:10" ht="15.75" thickBot="1" x14ac:dyDescent="0.3">
      <c r="A840" s="257"/>
      <c r="B840" s="159" t="s">
        <v>1497</v>
      </c>
      <c r="C840" s="393">
        <v>1</v>
      </c>
      <c r="D840" s="160" t="s">
        <v>110</v>
      </c>
      <c r="E840" s="161">
        <v>500000</v>
      </c>
      <c r="F840" s="162">
        <f t="shared" si="16"/>
        <v>500000</v>
      </c>
      <c r="G840" s="202"/>
    </row>
    <row r="841" spans="1:10" ht="15.75" thickBot="1" x14ac:dyDescent="0.3">
      <c r="A841" s="210"/>
      <c r="B841" s="1781" t="s">
        <v>548</v>
      </c>
      <c r="C841" s="1782"/>
      <c r="D841" s="1782"/>
      <c r="E841" s="1783"/>
      <c r="F841" s="163">
        <f>SUM(F834:F840)</f>
        <v>33650000</v>
      </c>
      <c r="G841" s="399"/>
    </row>
    <row r="842" spans="1:10" ht="15.75" thickBot="1" x14ac:dyDescent="0.3">
      <c r="A842" s="210"/>
      <c r="B842" s="1781" t="s">
        <v>26</v>
      </c>
      <c r="C842" s="1782"/>
      <c r="D842" s="1782"/>
      <c r="E842" s="1783"/>
      <c r="F842" s="163">
        <f>F841+F832+F828</f>
        <v>63010000</v>
      </c>
      <c r="G842" s="399" t="s">
        <v>1409</v>
      </c>
      <c r="J842" s="172">
        <f>F842</f>
        <v>63010000</v>
      </c>
    </row>
    <row r="843" spans="1:10" x14ac:dyDescent="0.25">
      <c r="A843" s="1762" t="s">
        <v>549</v>
      </c>
      <c r="B843" s="1762"/>
      <c r="C843" s="188" t="s">
        <v>27</v>
      </c>
      <c r="D843" s="1763" t="s">
        <v>1426</v>
      </c>
      <c r="E843" s="1763"/>
      <c r="F843" s="1763"/>
      <c r="G843" s="188"/>
    </row>
    <row r="844" spans="1:10" x14ac:dyDescent="0.25">
      <c r="A844" s="1762" t="s">
        <v>28</v>
      </c>
      <c r="B844" s="1762"/>
      <c r="C844" s="188"/>
      <c r="D844" s="1764" t="s">
        <v>2833</v>
      </c>
      <c r="E844" s="1764"/>
      <c r="F844" s="1764"/>
      <c r="G844" s="188"/>
      <c r="H844" s="36"/>
    </row>
    <row r="845" spans="1:10" x14ac:dyDescent="0.25">
      <c r="A845" s="186"/>
      <c r="B845" s="187"/>
      <c r="C845" s="188"/>
      <c r="D845" s="189"/>
      <c r="E845" s="218"/>
      <c r="F845" s="218"/>
      <c r="G845" s="188"/>
    </row>
    <row r="846" spans="1:10" x14ac:dyDescent="0.25">
      <c r="A846" s="186"/>
      <c r="B846" s="187"/>
      <c r="C846" s="188"/>
      <c r="D846" s="189"/>
      <c r="E846" s="218"/>
      <c r="F846" s="218"/>
      <c r="G846" s="188"/>
    </row>
    <row r="847" spans="1:10" x14ac:dyDescent="0.25">
      <c r="A847" s="1762"/>
      <c r="B847" s="1762"/>
      <c r="C847" s="188"/>
      <c r="D847" s="189"/>
      <c r="E847" s="1762"/>
      <c r="F847" s="1762"/>
      <c r="G847" s="188"/>
    </row>
    <row r="848" spans="1:10" x14ac:dyDescent="0.25">
      <c r="A848" s="1762" t="s">
        <v>29</v>
      </c>
      <c r="B848" s="1762"/>
      <c r="C848" s="188"/>
      <c r="D848" s="1762" t="s">
        <v>2954</v>
      </c>
      <c r="E848" s="1762"/>
      <c r="F848" s="1762"/>
      <c r="G848" s="188"/>
    </row>
    <row r="849" spans="1:7" x14ac:dyDescent="0.25">
      <c r="A849" s="1829" t="s">
        <v>0</v>
      </c>
      <c r="B849" s="1829"/>
      <c r="C849" s="1829"/>
      <c r="D849" s="1829"/>
      <c r="E849" s="1829"/>
      <c r="F849" s="1829"/>
      <c r="G849" s="1829"/>
    </row>
    <row r="850" spans="1:7" x14ac:dyDescent="0.25">
      <c r="A850" s="1829" t="s">
        <v>1</v>
      </c>
      <c r="B850" s="1829"/>
      <c r="C850" s="1829"/>
      <c r="D850" s="1829"/>
      <c r="E850" s="1829"/>
      <c r="F850" s="1829"/>
      <c r="G850" s="1829"/>
    </row>
    <row r="851" spans="1:7" x14ac:dyDescent="0.25">
      <c r="A851" s="1829" t="s">
        <v>1769</v>
      </c>
      <c r="B851" s="1829"/>
      <c r="C851" s="1829"/>
      <c r="D851" s="1829"/>
      <c r="E851" s="1829"/>
      <c r="F851" s="1829"/>
      <c r="G851" s="1829"/>
    </row>
    <row r="852" spans="1:7" x14ac:dyDescent="0.25">
      <c r="A852" s="1037"/>
      <c r="B852" s="1037"/>
      <c r="C852" s="1038"/>
      <c r="D852" s="1038"/>
      <c r="E852" s="1037"/>
      <c r="F852" s="1037"/>
      <c r="G852" s="1037"/>
    </row>
    <row r="853" spans="1:7" x14ac:dyDescent="0.25">
      <c r="A853" s="1039" t="s">
        <v>359</v>
      </c>
      <c r="B853" s="1040" t="s">
        <v>57</v>
      </c>
      <c r="C853" s="1041"/>
      <c r="D853" s="1042"/>
      <c r="E853" s="1043"/>
      <c r="F853" s="1043"/>
      <c r="G853" s="1036"/>
    </row>
    <row r="854" spans="1:7" x14ac:dyDescent="0.25">
      <c r="A854" s="1044" t="s">
        <v>360</v>
      </c>
      <c r="B854" s="1045" t="s">
        <v>2443</v>
      </c>
      <c r="C854" s="1045"/>
      <c r="D854" s="1045"/>
      <c r="E854" s="1046"/>
      <c r="F854" s="1047" t="s">
        <v>6</v>
      </c>
      <c r="G854" s="1047" t="s">
        <v>63</v>
      </c>
    </row>
    <row r="855" spans="1:7" ht="36" x14ac:dyDescent="0.25">
      <c r="A855" s="1044" t="s">
        <v>362</v>
      </c>
      <c r="B855" s="1045" t="s">
        <v>2444</v>
      </c>
      <c r="C855" s="1045"/>
      <c r="D855" s="1045"/>
      <c r="E855" s="1045"/>
      <c r="F855" s="1045" t="s">
        <v>329</v>
      </c>
      <c r="G855" s="1044" t="s">
        <v>63</v>
      </c>
    </row>
    <row r="856" spans="1:7" x14ac:dyDescent="0.25">
      <c r="A856" s="1048" t="s">
        <v>545</v>
      </c>
      <c r="B856" s="1048"/>
      <c r="C856" s="1036"/>
      <c r="D856" s="1036"/>
      <c r="E856" s="1036"/>
      <c r="F856" s="1036"/>
      <c r="G856" s="1036"/>
    </row>
    <row r="857" spans="1:7" x14ac:dyDescent="0.25">
      <c r="A857" s="1037" t="s">
        <v>422</v>
      </c>
      <c r="B857" s="1037" t="s">
        <v>546</v>
      </c>
      <c r="C857" s="1038"/>
      <c r="D857" s="1038"/>
      <c r="E857" s="1037"/>
      <c r="F857" s="1037"/>
      <c r="G857" s="1037"/>
    </row>
    <row r="858" spans="1:7" x14ac:dyDescent="0.25">
      <c r="A858" s="1830" t="s">
        <v>503</v>
      </c>
      <c r="B858" s="1830"/>
      <c r="C858" s="1036"/>
      <c r="D858" s="1036"/>
      <c r="E858" s="1043"/>
      <c r="F858" s="1041"/>
      <c r="G858" s="1037"/>
    </row>
    <row r="859" spans="1:7" x14ac:dyDescent="0.25">
      <c r="A859" s="1036"/>
      <c r="B859" s="1036"/>
      <c r="C859" s="1036"/>
      <c r="D859" s="1036"/>
      <c r="E859" s="1036"/>
      <c r="F859" s="1036"/>
      <c r="G859" s="1037"/>
    </row>
    <row r="860" spans="1:7" ht="24" x14ac:dyDescent="0.25">
      <c r="A860" s="1049" t="s">
        <v>30</v>
      </c>
      <c r="B860" s="1049" t="s">
        <v>11</v>
      </c>
      <c r="C860" s="1831" t="s">
        <v>12</v>
      </c>
      <c r="D860" s="1832"/>
      <c r="E860" s="1051" t="s">
        <v>13</v>
      </c>
      <c r="F860" s="1050" t="s">
        <v>14</v>
      </c>
      <c r="G860" s="1052" t="s">
        <v>364</v>
      </c>
    </row>
    <row r="861" spans="1:7" x14ac:dyDescent="0.25">
      <c r="A861" s="1053">
        <v>1</v>
      </c>
      <c r="B861" s="1053">
        <v>2</v>
      </c>
      <c r="C861" s="1818">
        <v>3</v>
      </c>
      <c r="D861" s="1819"/>
      <c r="E861" s="1056">
        <v>4</v>
      </c>
      <c r="F861" s="1054">
        <v>5</v>
      </c>
      <c r="G861" s="1057">
        <v>6</v>
      </c>
    </row>
    <row r="862" spans="1:7" x14ac:dyDescent="0.25">
      <c r="A862" s="1058" t="s">
        <v>2422</v>
      </c>
      <c r="B862" s="1059" t="s">
        <v>424</v>
      </c>
      <c r="C862" s="1060"/>
      <c r="D862" s="1061"/>
      <c r="E862" s="1062"/>
      <c r="F862" s="1062"/>
      <c r="G862" s="1063"/>
    </row>
    <row r="863" spans="1:7" ht="24" x14ac:dyDescent="0.25">
      <c r="A863" s="1058" t="s">
        <v>2423</v>
      </c>
      <c r="B863" s="1059" t="s">
        <v>2445</v>
      </c>
      <c r="C863" s="1060"/>
      <c r="D863" s="1061"/>
      <c r="E863" s="1062"/>
      <c r="F863" s="1062"/>
      <c r="G863" s="1063"/>
    </row>
    <row r="864" spans="1:7" ht="24.75" x14ac:dyDescent="0.25">
      <c r="A864" s="1058" t="s">
        <v>2425</v>
      </c>
      <c r="B864" s="1064" t="s">
        <v>2446</v>
      </c>
      <c r="C864" s="1060"/>
      <c r="D864" s="1061"/>
      <c r="E864" s="1065"/>
      <c r="F864" s="1065"/>
      <c r="G864" s="1063"/>
    </row>
    <row r="865" spans="1:19" ht="15.75" thickBot="1" x14ac:dyDescent="0.3">
      <c r="A865" s="1058"/>
      <c r="B865" s="1064" t="s">
        <v>2447</v>
      </c>
      <c r="C865" s="1060">
        <v>1</v>
      </c>
      <c r="D865" s="1066" t="s">
        <v>222</v>
      </c>
      <c r="E865" s="1067">
        <v>104000</v>
      </c>
      <c r="F865" s="1067">
        <f>E865*C865</f>
        <v>104000</v>
      </c>
      <c r="G865" s="1063"/>
    </row>
    <row r="866" spans="1:19" ht="15.75" thickBot="1" x14ac:dyDescent="0.3">
      <c r="A866" s="1058"/>
      <c r="B866" s="1064"/>
      <c r="C866" s="1820" t="s">
        <v>548</v>
      </c>
      <c r="D866" s="1821"/>
      <c r="E866" s="1822"/>
      <c r="F866" s="1068">
        <f>F865</f>
        <v>104000</v>
      </c>
      <c r="G866" s="1069"/>
    </row>
    <row r="867" spans="1:19" x14ac:dyDescent="0.25">
      <c r="A867" s="1058" t="s">
        <v>2428</v>
      </c>
      <c r="B867" s="1070" t="s">
        <v>2448</v>
      </c>
      <c r="C867" s="1071"/>
      <c r="D867" s="1072"/>
      <c r="E867" s="1073"/>
      <c r="F867" s="1073"/>
      <c r="G867" s="1069"/>
      <c r="H867" s="83"/>
      <c r="I867" s="83"/>
      <c r="J867" s="83"/>
    </row>
    <row r="868" spans="1:19" x14ac:dyDescent="0.25">
      <c r="A868" s="1058"/>
      <c r="B868" s="1064" t="s">
        <v>1489</v>
      </c>
      <c r="C868" s="1074">
        <v>2</v>
      </c>
      <c r="D868" s="1075" t="s">
        <v>419</v>
      </c>
      <c r="E868" s="1076">
        <v>150000</v>
      </c>
      <c r="F868" s="1062">
        <f>E868*C868</f>
        <v>300000</v>
      </c>
      <c r="G868" s="1063"/>
      <c r="H868" s="83"/>
      <c r="I868" s="83"/>
      <c r="J868" s="83"/>
    </row>
    <row r="869" spans="1:19" x14ac:dyDescent="0.25">
      <c r="A869" s="1058"/>
      <c r="B869" s="1064" t="s">
        <v>1490</v>
      </c>
      <c r="C869" s="1074">
        <v>4</v>
      </c>
      <c r="D869" s="1075" t="s">
        <v>419</v>
      </c>
      <c r="E869" s="1076">
        <v>130000</v>
      </c>
      <c r="F869" s="1062">
        <f>E869*C869</f>
        <v>520000</v>
      </c>
      <c r="G869" s="1063"/>
      <c r="H869" s="83"/>
      <c r="I869" s="83"/>
      <c r="J869" s="83"/>
    </row>
    <row r="870" spans="1:19" ht="15.75" thickBot="1" x14ac:dyDescent="0.3">
      <c r="A870" s="1058"/>
      <c r="B870" s="1064"/>
      <c r="C870" s="1077"/>
      <c r="D870" s="1055"/>
      <c r="E870" s="1078"/>
      <c r="F870" s="1065"/>
      <c r="G870" s="1069"/>
      <c r="H870" s="83"/>
      <c r="I870" s="83"/>
      <c r="J870" s="83"/>
    </row>
    <row r="871" spans="1:19" ht="15.75" thickBot="1" x14ac:dyDescent="0.3">
      <c r="A871" s="1058"/>
      <c r="B871" s="1064"/>
      <c r="C871" s="1820" t="s">
        <v>548</v>
      </c>
      <c r="D871" s="1821"/>
      <c r="E871" s="1822"/>
      <c r="F871" s="1068">
        <f>SUM(F868:F870)</f>
        <v>820000</v>
      </c>
      <c r="G871" s="1069"/>
    </row>
    <row r="872" spans="1:19" x14ac:dyDescent="0.25">
      <c r="A872" s="1058" t="s">
        <v>2429</v>
      </c>
      <c r="B872" s="1064" t="s">
        <v>2449</v>
      </c>
      <c r="C872" s="1079"/>
      <c r="D872" s="1080"/>
      <c r="E872" s="1078"/>
      <c r="F872" s="1078"/>
      <c r="G872" s="1069"/>
    </row>
    <row r="873" spans="1:19" x14ac:dyDescent="0.25">
      <c r="A873" s="1058"/>
      <c r="B873" s="1064" t="s">
        <v>2450</v>
      </c>
      <c r="C873" s="1077">
        <v>1</v>
      </c>
      <c r="D873" s="1055" t="s">
        <v>178</v>
      </c>
      <c r="E873" s="1076">
        <v>1695000</v>
      </c>
      <c r="F873" s="1081">
        <f>E873*C873</f>
        <v>1695000</v>
      </c>
      <c r="G873" s="1069"/>
      <c r="H873" s="83"/>
      <c r="I873" s="1082"/>
      <c r="J873" s="32"/>
      <c r="K873" s="32"/>
    </row>
    <row r="874" spans="1:19" x14ac:dyDescent="0.25">
      <c r="A874" s="1058"/>
      <c r="B874" s="1083"/>
      <c r="C874" s="1077"/>
      <c r="D874" s="1061"/>
      <c r="E874" s="1084"/>
      <c r="F874" s="1081"/>
      <c r="G874" s="1069"/>
      <c r="I874" s="1082"/>
      <c r="J874" s="32"/>
      <c r="K874" s="32"/>
    </row>
    <row r="875" spans="1:19" x14ac:dyDescent="0.25">
      <c r="A875" s="1085"/>
      <c r="B875" s="1086"/>
      <c r="C875" s="1063"/>
      <c r="D875" s="1063"/>
      <c r="E875" s="1084"/>
      <c r="F875" s="1065"/>
      <c r="G875" s="1085"/>
      <c r="I875" s="1082"/>
      <c r="J875" s="32"/>
      <c r="K875" s="32"/>
    </row>
    <row r="876" spans="1:19" ht="15.75" thickBot="1" x14ac:dyDescent="0.3">
      <c r="A876" s="1085"/>
      <c r="B876" s="1086"/>
      <c r="C876" s="1036"/>
      <c r="D876" s="1036"/>
      <c r="E876" s="1087"/>
      <c r="F876" s="1065"/>
      <c r="G876" s="1072"/>
      <c r="I876" s="1082"/>
      <c r="J876" s="32"/>
      <c r="K876" s="32"/>
    </row>
    <row r="877" spans="1:19" ht="15.75" thickBot="1" x14ac:dyDescent="0.3">
      <c r="A877" s="1085"/>
      <c r="B877" s="1088"/>
      <c r="C877" s="1804" t="s">
        <v>548</v>
      </c>
      <c r="D877" s="1805"/>
      <c r="E877" s="1806"/>
      <c r="F877" s="1089">
        <f>SUM(F873:F876)</f>
        <v>1695000</v>
      </c>
      <c r="G877" s="1090"/>
      <c r="K877" s="32"/>
    </row>
    <row r="878" spans="1:19" x14ac:dyDescent="0.25">
      <c r="A878" s="1085"/>
      <c r="B878" s="1091"/>
      <c r="C878" s="1092"/>
      <c r="D878" s="1093"/>
      <c r="E878" s="1094"/>
      <c r="F878" s="1095"/>
      <c r="G878" s="1085"/>
    </row>
    <row r="879" spans="1:19" ht="30" x14ac:dyDescent="0.25">
      <c r="A879" s="1"/>
      <c r="B879" s="1772" t="s">
        <v>26</v>
      </c>
      <c r="C879" s="1772"/>
      <c r="D879" s="1772"/>
      <c r="E879" s="1772"/>
      <c r="F879" s="31">
        <f>F877+F871+F866</f>
        <v>2619000</v>
      </c>
      <c r="G879" s="4" t="s">
        <v>2570</v>
      </c>
      <c r="K879" s="32"/>
      <c r="S879" s="32">
        <f>F879</f>
        <v>2619000</v>
      </c>
    </row>
    <row r="880" spans="1:19" x14ac:dyDescent="0.25">
      <c r="A880" s="1762" t="s">
        <v>549</v>
      </c>
      <c r="B880" s="1762"/>
      <c r="C880" s="188" t="s">
        <v>27</v>
      </c>
      <c r="D880" s="1763" t="s">
        <v>1426</v>
      </c>
      <c r="E880" s="1763"/>
      <c r="F880" s="1763"/>
      <c r="G880" s="188"/>
    </row>
    <row r="881" spans="1:8" x14ac:dyDescent="0.25">
      <c r="A881" s="1762" t="s">
        <v>28</v>
      </c>
      <c r="B881" s="1762"/>
      <c r="C881" s="188"/>
      <c r="D881" s="1764" t="s">
        <v>2833</v>
      </c>
      <c r="E881" s="1764"/>
      <c r="F881" s="1764"/>
      <c r="G881" s="188"/>
      <c r="H881" s="36"/>
    </row>
    <row r="882" spans="1:8" x14ac:dyDescent="0.25">
      <c r="A882" s="186"/>
      <c r="B882" s="187"/>
      <c r="C882" s="188"/>
      <c r="D882" s="189"/>
      <c r="E882" s="218"/>
      <c r="F882" s="218"/>
      <c r="G882" s="188"/>
    </row>
    <row r="883" spans="1:8" x14ac:dyDescent="0.25">
      <c r="A883" s="186"/>
      <c r="B883" s="187"/>
      <c r="C883" s="188"/>
      <c r="D883" s="189"/>
      <c r="E883" s="218"/>
      <c r="F883" s="218"/>
      <c r="G883" s="188"/>
    </row>
    <row r="884" spans="1:8" x14ac:dyDescent="0.25">
      <c r="A884" s="1762"/>
      <c r="B884" s="1762"/>
      <c r="C884" s="188"/>
      <c r="D884" s="189"/>
      <c r="E884" s="1762"/>
      <c r="F884" s="1762"/>
      <c r="G884" s="188"/>
    </row>
    <row r="885" spans="1:8" x14ac:dyDescent="0.25">
      <c r="A885" s="1762" t="s">
        <v>29</v>
      </c>
      <c r="B885" s="1762"/>
      <c r="C885" s="188"/>
      <c r="D885" s="1762" t="s">
        <v>2954</v>
      </c>
      <c r="E885" s="1762"/>
      <c r="F885" s="1762"/>
      <c r="G885" s="188"/>
    </row>
    <row r="886" spans="1:8" x14ac:dyDescent="0.25">
      <c r="A886" s="1829" t="s">
        <v>0</v>
      </c>
      <c r="B886" s="1829"/>
      <c r="C886" s="1829"/>
      <c r="D886" s="1829"/>
      <c r="E886" s="1829"/>
      <c r="F886" s="1829"/>
      <c r="G886" s="1829"/>
    </row>
    <row r="887" spans="1:8" x14ac:dyDescent="0.25">
      <c r="A887" s="1829" t="s">
        <v>1</v>
      </c>
      <c r="B887" s="1829"/>
      <c r="C887" s="1829"/>
      <c r="D887" s="1829"/>
      <c r="E887" s="1829"/>
      <c r="F887" s="1829"/>
      <c r="G887" s="1829"/>
    </row>
    <row r="888" spans="1:8" x14ac:dyDescent="0.25">
      <c r="A888" s="1829" t="s">
        <v>1769</v>
      </c>
      <c r="B888" s="1829"/>
      <c r="C888" s="1829"/>
      <c r="D888" s="1829"/>
      <c r="E888" s="1829"/>
      <c r="F888" s="1829"/>
      <c r="G888" s="1829"/>
    </row>
    <row r="889" spans="1:8" x14ac:dyDescent="0.25">
      <c r="A889" s="1037"/>
      <c r="B889" s="1037"/>
      <c r="C889" s="1038"/>
      <c r="D889" s="1038"/>
      <c r="E889" s="1037"/>
      <c r="F889" s="1037"/>
      <c r="G889" s="1037"/>
    </row>
    <row r="890" spans="1:8" x14ac:dyDescent="0.25">
      <c r="A890" s="1039" t="s">
        <v>359</v>
      </c>
      <c r="B890" s="1040" t="s">
        <v>57</v>
      </c>
      <c r="C890" s="1041"/>
      <c r="D890" s="1042"/>
      <c r="E890" s="1043"/>
      <c r="F890" s="1043"/>
      <c r="G890" s="1036"/>
    </row>
    <row r="891" spans="1:8" x14ac:dyDescent="0.25">
      <c r="A891" s="1044" t="s">
        <v>360</v>
      </c>
      <c r="B891" s="1045" t="s">
        <v>2443</v>
      </c>
      <c r="C891" s="1045"/>
      <c r="D891" s="1045"/>
      <c r="E891" s="1046"/>
      <c r="F891" s="1047" t="s">
        <v>6</v>
      </c>
      <c r="G891" s="1047" t="s">
        <v>63</v>
      </c>
    </row>
    <row r="892" spans="1:8" ht="50.25" customHeight="1" x14ac:dyDescent="0.25">
      <c r="A892" s="1044" t="s">
        <v>362</v>
      </c>
      <c r="B892" s="1045" t="s">
        <v>2451</v>
      </c>
      <c r="C892" s="1045"/>
      <c r="D892" s="1045"/>
      <c r="E892" s="1045"/>
      <c r="F892" s="1045" t="s">
        <v>329</v>
      </c>
      <c r="G892" s="1044" t="s">
        <v>63</v>
      </c>
    </row>
    <row r="893" spans="1:8" x14ac:dyDescent="0.25">
      <c r="A893" s="1048" t="s">
        <v>545</v>
      </c>
      <c r="B893" s="1048"/>
      <c r="C893" s="1036"/>
      <c r="D893" s="1036"/>
      <c r="E893" s="1036"/>
      <c r="F893" s="1036"/>
      <c r="G893" s="1036"/>
    </row>
    <row r="894" spans="1:8" x14ac:dyDescent="0.25">
      <c r="A894" s="1037" t="s">
        <v>422</v>
      </c>
      <c r="B894" s="1037" t="s">
        <v>546</v>
      </c>
      <c r="C894" s="1038"/>
      <c r="D894" s="1038"/>
      <c r="E894" s="1037"/>
      <c r="F894" s="1037"/>
      <c r="G894" s="1037"/>
    </row>
    <row r="895" spans="1:8" x14ac:dyDescent="0.25">
      <c r="A895" s="1830" t="s">
        <v>503</v>
      </c>
      <c r="B895" s="1830"/>
      <c r="C895" s="1036"/>
      <c r="D895" s="1036"/>
      <c r="E895" s="1043"/>
      <c r="F895" s="1041"/>
      <c r="G895" s="1037"/>
    </row>
    <row r="896" spans="1:8" x14ac:dyDescent="0.25">
      <c r="A896" s="1036"/>
      <c r="B896" s="1036"/>
      <c r="C896" s="1036"/>
      <c r="D896" s="1036"/>
      <c r="E896" s="1036"/>
      <c r="F896" s="1036"/>
      <c r="G896" s="1037"/>
    </row>
    <row r="897" spans="1:11" ht="24" x14ac:dyDescent="0.25">
      <c r="A897" s="1049" t="s">
        <v>30</v>
      </c>
      <c r="B897" s="1049" t="s">
        <v>11</v>
      </c>
      <c r="C897" s="1831" t="s">
        <v>12</v>
      </c>
      <c r="D897" s="1832"/>
      <c r="E897" s="1051" t="s">
        <v>13</v>
      </c>
      <c r="F897" s="1050" t="s">
        <v>14</v>
      </c>
      <c r="G897" s="1052" t="s">
        <v>364</v>
      </c>
    </row>
    <row r="898" spans="1:11" x14ac:dyDescent="0.25">
      <c r="A898" s="1053">
        <v>1</v>
      </c>
      <c r="B898" s="1053">
        <v>2</v>
      </c>
      <c r="C898" s="1818">
        <v>3</v>
      </c>
      <c r="D898" s="1819"/>
      <c r="E898" s="1056">
        <v>4</v>
      </c>
      <c r="F898" s="1054">
        <v>5</v>
      </c>
      <c r="G898" s="1057">
        <v>6</v>
      </c>
    </row>
    <row r="899" spans="1:11" x14ac:dyDescent="0.25">
      <c r="A899" s="1058" t="s">
        <v>2422</v>
      </c>
      <c r="B899" s="1059" t="s">
        <v>424</v>
      </c>
      <c r="C899" s="1060"/>
      <c r="D899" s="1061"/>
      <c r="E899" s="1062"/>
      <c r="F899" s="1062"/>
      <c r="G899" s="1063"/>
    </row>
    <row r="900" spans="1:11" ht="24" x14ac:dyDescent="0.25">
      <c r="A900" s="1058" t="s">
        <v>2423</v>
      </c>
      <c r="B900" s="1059" t="s">
        <v>2445</v>
      </c>
      <c r="C900" s="1060"/>
      <c r="D900" s="1061"/>
      <c r="E900" s="1062"/>
      <c r="F900" s="1062"/>
      <c r="G900" s="1063"/>
    </row>
    <row r="901" spans="1:11" ht="24.75" x14ac:dyDescent="0.25">
      <c r="A901" s="1058" t="s">
        <v>2425</v>
      </c>
      <c r="B901" s="1064" t="s">
        <v>2446</v>
      </c>
      <c r="C901" s="1060"/>
      <c r="D901" s="1061"/>
      <c r="E901" s="1065"/>
      <c r="F901" s="1065"/>
      <c r="G901" s="1063"/>
    </row>
    <row r="902" spans="1:11" ht="15.75" thickBot="1" x14ac:dyDescent="0.3">
      <c r="A902" s="1058"/>
      <c r="B902" s="1064" t="s">
        <v>2447</v>
      </c>
      <c r="C902" s="1060">
        <v>1</v>
      </c>
      <c r="D902" s="1066" t="s">
        <v>222</v>
      </c>
      <c r="E902" s="1067">
        <v>104000</v>
      </c>
      <c r="F902" s="1067">
        <f>E902*C902</f>
        <v>104000</v>
      </c>
      <c r="G902" s="1063"/>
    </row>
    <row r="903" spans="1:11" ht="15.75" thickBot="1" x14ac:dyDescent="0.3">
      <c r="A903" s="1058"/>
      <c r="B903" s="1064"/>
      <c r="C903" s="1820" t="s">
        <v>548</v>
      </c>
      <c r="D903" s="1821"/>
      <c r="E903" s="1822"/>
      <c r="F903" s="1068">
        <f>F902</f>
        <v>104000</v>
      </c>
      <c r="G903" s="1069"/>
    </row>
    <row r="904" spans="1:11" x14ac:dyDescent="0.25">
      <c r="A904" s="1058" t="s">
        <v>2428</v>
      </c>
      <c r="B904" s="1070" t="s">
        <v>2448</v>
      </c>
      <c r="C904" s="1071"/>
      <c r="D904" s="1072"/>
      <c r="E904" s="1073"/>
      <c r="F904" s="1073"/>
      <c r="G904" s="1069"/>
      <c r="H904" s="83"/>
      <c r="I904" s="83"/>
      <c r="J904" s="83"/>
    </row>
    <row r="905" spans="1:11" x14ac:dyDescent="0.25">
      <c r="A905" s="1058"/>
      <c r="B905" s="1064" t="s">
        <v>1489</v>
      </c>
      <c r="C905" s="1074">
        <v>4</v>
      </c>
      <c r="D905" s="1075" t="s">
        <v>419</v>
      </c>
      <c r="E905" s="1076">
        <v>150000</v>
      </c>
      <c r="F905" s="1062">
        <f>E905*C905</f>
        <v>600000</v>
      </c>
      <c r="G905" s="1063"/>
      <c r="H905" s="83"/>
      <c r="I905" s="83"/>
      <c r="J905" s="83"/>
    </row>
    <row r="906" spans="1:11" x14ac:dyDescent="0.25">
      <c r="A906" s="1058"/>
      <c r="B906" s="1064" t="s">
        <v>1490</v>
      </c>
      <c r="C906" s="1074">
        <v>8</v>
      </c>
      <c r="D906" s="1075" t="s">
        <v>419</v>
      </c>
      <c r="E906" s="1076">
        <v>130000</v>
      </c>
      <c r="F906" s="1062">
        <f>E906*C906</f>
        <v>1040000</v>
      </c>
      <c r="G906" s="1063"/>
      <c r="H906" s="83"/>
      <c r="I906" s="83"/>
      <c r="J906" s="83"/>
    </row>
    <row r="907" spans="1:11" ht="15.75" thickBot="1" x14ac:dyDescent="0.3">
      <c r="A907" s="1058"/>
      <c r="B907" s="1064"/>
      <c r="C907" s="1077"/>
      <c r="D907" s="1055"/>
      <c r="E907" s="1078"/>
      <c r="F907" s="1065"/>
      <c r="G907" s="1069"/>
      <c r="H907" s="83"/>
      <c r="I907" s="83"/>
      <c r="J907" s="83"/>
    </row>
    <row r="908" spans="1:11" ht="15.75" thickBot="1" x14ac:dyDescent="0.3">
      <c r="A908" s="1058"/>
      <c r="B908" s="1064"/>
      <c r="C908" s="1820" t="s">
        <v>548</v>
      </c>
      <c r="D908" s="1821"/>
      <c r="E908" s="1822"/>
      <c r="F908" s="1068">
        <f>SUM(F905:F907)</f>
        <v>1640000</v>
      </c>
      <c r="G908" s="1069"/>
    </row>
    <row r="909" spans="1:11" x14ac:dyDescent="0.25">
      <c r="A909" s="1058" t="s">
        <v>2429</v>
      </c>
      <c r="B909" s="1064" t="s">
        <v>2449</v>
      </c>
      <c r="C909" s="1079"/>
      <c r="D909" s="1080"/>
      <c r="E909" s="1078"/>
      <c r="F909" s="1078"/>
      <c r="G909" s="1069"/>
    </row>
    <row r="910" spans="1:11" x14ac:dyDescent="0.25">
      <c r="A910" s="1058"/>
      <c r="B910" s="1064" t="s">
        <v>2452</v>
      </c>
      <c r="C910" s="1077">
        <v>1</v>
      </c>
      <c r="D910" s="1055" t="s">
        <v>178</v>
      </c>
      <c r="E910" s="1076">
        <v>3560000</v>
      </c>
      <c r="F910" s="1081">
        <f>E910*C910</f>
        <v>3560000</v>
      </c>
      <c r="G910" s="1069"/>
      <c r="H910" s="83"/>
      <c r="I910" s="1082"/>
      <c r="J910" s="32"/>
      <c r="K910" s="32"/>
    </row>
    <row r="911" spans="1:11" x14ac:dyDescent="0.25">
      <c r="A911" s="1058"/>
      <c r="B911" s="1083"/>
      <c r="C911" s="1077"/>
      <c r="D911" s="1061"/>
      <c r="E911" s="1084"/>
      <c r="F911" s="1081"/>
      <c r="G911" s="1069"/>
      <c r="I911" s="1082"/>
      <c r="J911" s="32"/>
      <c r="K911" s="32"/>
    </row>
    <row r="912" spans="1:11" x14ac:dyDescent="0.25">
      <c r="A912" s="1085"/>
      <c r="B912" s="1086"/>
      <c r="C912" s="1063"/>
      <c r="D912" s="1063"/>
      <c r="E912" s="1084"/>
      <c r="F912" s="1065"/>
      <c r="G912" s="1085"/>
      <c r="I912" s="1082"/>
      <c r="J912" s="32"/>
      <c r="K912" s="32"/>
    </row>
    <row r="913" spans="1:19" ht="15.75" thickBot="1" x14ac:dyDescent="0.3">
      <c r="A913" s="1085"/>
      <c r="B913" s="1086"/>
      <c r="C913" s="1036"/>
      <c r="D913" s="1036"/>
      <c r="E913" s="1087"/>
      <c r="F913" s="1065"/>
      <c r="G913" s="1072"/>
      <c r="I913" s="1082"/>
      <c r="J913" s="32"/>
      <c r="K913" s="32"/>
    </row>
    <row r="914" spans="1:19" ht="15.75" thickBot="1" x14ac:dyDescent="0.3">
      <c r="A914" s="1085"/>
      <c r="B914" s="1088"/>
      <c r="C914" s="1804" t="s">
        <v>548</v>
      </c>
      <c r="D914" s="1805"/>
      <c r="E914" s="1806"/>
      <c r="F914" s="1089">
        <f>SUM(F910:F913)</f>
        <v>3560000</v>
      </c>
      <c r="G914" s="1090"/>
      <c r="K914" s="32"/>
    </row>
    <row r="915" spans="1:19" x14ac:dyDescent="0.25">
      <c r="A915" s="1085"/>
      <c r="B915" s="1091"/>
      <c r="C915" s="1092"/>
      <c r="D915" s="1093"/>
      <c r="E915" s="1094"/>
      <c r="F915" s="1095"/>
      <c r="G915" s="1085"/>
    </row>
    <row r="916" spans="1:19" ht="30" x14ac:dyDescent="0.25">
      <c r="A916" s="1"/>
      <c r="B916" s="1772" t="s">
        <v>26</v>
      </c>
      <c r="C916" s="1772"/>
      <c r="D916" s="1772"/>
      <c r="E916" s="1772"/>
      <c r="F916" s="31">
        <f>F914+F908+F903</f>
        <v>5304000</v>
      </c>
      <c r="G916" s="4" t="s">
        <v>2570</v>
      </c>
      <c r="K916" s="32"/>
      <c r="S916" s="32">
        <f>F916</f>
        <v>5304000</v>
      </c>
    </row>
    <row r="917" spans="1:19" x14ac:dyDescent="0.25">
      <c r="A917" s="1762" t="s">
        <v>549</v>
      </c>
      <c r="B917" s="1762"/>
      <c r="C917" s="188" t="s">
        <v>27</v>
      </c>
      <c r="D917" s="1763" t="s">
        <v>1426</v>
      </c>
      <c r="E917" s="1763"/>
      <c r="F917" s="1763"/>
      <c r="G917" s="188"/>
    </row>
    <row r="918" spans="1:19" x14ac:dyDescent="0.25">
      <c r="A918" s="1762" t="s">
        <v>28</v>
      </c>
      <c r="B918" s="1762"/>
      <c r="C918" s="188"/>
      <c r="D918" s="1764" t="s">
        <v>2833</v>
      </c>
      <c r="E918" s="1764"/>
      <c r="F918" s="1764"/>
      <c r="G918" s="188"/>
      <c r="H918" s="36"/>
    </row>
    <row r="919" spans="1:19" x14ac:dyDescent="0.25">
      <c r="A919" s="186"/>
      <c r="B919" s="187"/>
      <c r="C919" s="188"/>
      <c r="D919" s="189"/>
      <c r="E919" s="218"/>
      <c r="F919" s="218"/>
      <c r="G919" s="188"/>
    </row>
    <row r="920" spans="1:19" x14ac:dyDescent="0.25">
      <c r="A920" s="186"/>
      <c r="B920" s="187"/>
      <c r="C920" s="188"/>
      <c r="D920" s="189"/>
      <c r="E920" s="218"/>
      <c r="F920" s="218"/>
      <c r="G920" s="188"/>
    </row>
    <row r="921" spans="1:19" x14ac:dyDescent="0.25">
      <c r="A921" s="1762"/>
      <c r="B921" s="1762"/>
      <c r="C921" s="188"/>
      <c r="D921" s="189"/>
      <c r="E921" s="1762"/>
      <c r="F921" s="1762"/>
      <c r="G921" s="188"/>
    </row>
    <row r="922" spans="1:19" x14ac:dyDescent="0.25">
      <c r="A922" s="1762" t="s">
        <v>29</v>
      </c>
      <c r="B922" s="1762"/>
      <c r="C922" s="188"/>
      <c r="D922" s="1762" t="s">
        <v>2954</v>
      </c>
      <c r="E922" s="1762"/>
      <c r="F922" s="1762"/>
      <c r="G922" s="188"/>
    </row>
    <row r="923" spans="1:19" x14ac:dyDescent="0.25">
      <c r="A923" s="1807" t="s">
        <v>0</v>
      </c>
      <c r="B923" s="1807"/>
      <c r="C923" s="1807"/>
      <c r="D923" s="1807"/>
      <c r="E923" s="1807"/>
      <c r="F923" s="1807"/>
      <c r="G923" s="1807"/>
    </row>
    <row r="924" spans="1:19" x14ac:dyDescent="0.25">
      <c r="A924" s="1807" t="s">
        <v>1</v>
      </c>
      <c r="B924" s="1807"/>
      <c r="C924" s="1807"/>
      <c r="D924" s="1807"/>
      <c r="E924" s="1807"/>
      <c r="F924" s="1807"/>
      <c r="G924" s="1807"/>
    </row>
    <row r="925" spans="1:19" x14ac:dyDescent="0.25">
      <c r="A925" s="1807" t="s">
        <v>1769</v>
      </c>
      <c r="B925" s="1807"/>
      <c r="C925" s="1807"/>
      <c r="D925" s="1807"/>
      <c r="E925" s="1807"/>
      <c r="F925" s="1807"/>
      <c r="G925" s="1807"/>
    </row>
    <row r="926" spans="1:19" x14ac:dyDescent="0.25">
      <c r="A926" s="1138"/>
      <c r="B926" s="1138"/>
      <c r="C926" s="1137"/>
      <c r="D926" s="1137"/>
      <c r="E926" s="1138"/>
      <c r="F926" s="1138"/>
      <c r="G926" s="1138"/>
    </row>
    <row r="927" spans="1:19" x14ac:dyDescent="0.25">
      <c r="A927" s="1139" t="s">
        <v>359</v>
      </c>
      <c r="B927" s="1140" t="s">
        <v>57</v>
      </c>
      <c r="C927" s="1141"/>
      <c r="D927" s="1142"/>
      <c r="E927" s="1143"/>
      <c r="F927" s="1143"/>
      <c r="G927" s="1163"/>
    </row>
    <row r="928" spans="1:19" x14ac:dyDescent="0.25">
      <c r="A928" s="1165" t="s">
        <v>360</v>
      </c>
      <c r="B928" s="1166" t="s">
        <v>2443</v>
      </c>
      <c r="C928" s="1166"/>
      <c r="D928" s="1166"/>
      <c r="E928" s="1167"/>
      <c r="F928" s="1144" t="s">
        <v>6</v>
      </c>
      <c r="G928" s="1144" t="s">
        <v>63</v>
      </c>
    </row>
    <row r="929" spans="1:10" ht="36" x14ac:dyDescent="0.25">
      <c r="A929" s="1165" t="s">
        <v>362</v>
      </c>
      <c r="B929" s="1166" t="s">
        <v>2464</v>
      </c>
      <c r="C929" s="1166"/>
      <c r="D929" s="1166"/>
      <c r="E929" s="1166"/>
      <c r="F929" s="1166" t="s">
        <v>329</v>
      </c>
      <c r="G929" s="1165" t="s">
        <v>63</v>
      </c>
      <c r="H929" t="s">
        <v>2745</v>
      </c>
    </row>
    <row r="930" spans="1:10" x14ac:dyDescent="0.25">
      <c r="A930" s="1164" t="s">
        <v>545</v>
      </c>
      <c r="B930" s="1164"/>
      <c r="C930" s="1163"/>
      <c r="D930" s="1163"/>
      <c r="E930" s="1163"/>
      <c r="F930" s="1163"/>
      <c r="G930" s="1163"/>
    </row>
    <row r="931" spans="1:10" x14ac:dyDescent="0.25">
      <c r="A931" s="1138" t="s">
        <v>422</v>
      </c>
      <c r="B931" s="1138" t="s">
        <v>546</v>
      </c>
      <c r="C931" s="1137"/>
      <c r="D931" s="1137"/>
      <c r="E931" s="1138"/>
      <c r="F931" s="1138"/>
      <c r="G931" s="1138"/>
    </row>
    <row r="932" spans="1:10" x14ac:dyDescent="0.25">
      <c r="A932" s="1808" t="s">
        <v>503</v>
      </c>
      <c r="B932" s="1808"/>
      <c r="C932" s="1163"/>
      <c r="D932" s="1163"/>
      <c r="E932" s="1143"/>
      <c r="F932" s="1141"/>
      <c r="G932" s="1138"/>
    </row>
    <row r="933" spans="1:10" x14ac:dyDescent="0.25">
      <c r="A933" s="1163"/>
      <c r="B933" s="1163"/>
      <c r="C933" s="1163"/>
      <c r="D933" s="1163"/>
      <c r="E933" s="1163"/>
      <c r="F933" s="1163"/>
      <c r="G933" s="1138"/>
    </row>
    <row r="934" spans="1:10" ht="24" x14ac:dyDescent="0.25">
      <c r="A934" s="1146" t="s">
        <v>30</v>
      </c>
      <c r="B934" s="1146" t="s">
        <v>11</v>
      </c>
      <c r="C934" s="1809" t="s">
        <v>12</v>
      </c>
      <c r="D934" s="1810"/>
      <c r="E934" s="1170" t="s">
        <v>13</v>
      </c>
      <c r="F934" s="1168" t="s">
        <v>14</v>
      </c>
      <c r="G934" s="1150" t="s">
        <v>364</v>
      </c>
    </row>
    <row r="935" spans="1:10" x14ac:dyDescent="0.25">
      <c r="A935" s="1145">
        <v>1</v>
      </c>
      <c r="B935" s="1145">
        <v>2</v>
      </c>
      <c r="C935" s="1811">
        <v>3</v>
      </c>
      <c r="D935" s="1812"/>
      <c r="E935" s="1171">
        <v>4</v>
      </c>
      <c r="F935" s="1147">
        <v>5</v>
      </c>
      <c r="G935" s="1151">
        <v>6</v>
      </c>
    </row>
    <row r="936" spans="1:10" x14ac:dyDescent="0.25">
      <c r="A936" s="1172" t="s">
        <v>2422</v>
      </c>
      <c r="B936" s="1158" t="s">
        <v>424</v>
      </c>
      <c r="C936" s="1159"/>
      <c r="D936" s="1173"/>
      <c r="E936" s="1174"/>
      <c r="F936" s="1174"/>
      <c r="G936" s="1149"/>
    </row>
    <row r="937" spans="1:10" ht="24" x14ac:dyDescent="0.25">
      <c r="A937" s="1172" t="s">
        <v>2423</v>
      </c>
      <c r="B937" s="1158" t="s">
        <v>2445</v>
      </c>
      <c r="C937" s="1159"/>
      <c r="D937" s="1173"/>
      <c r="E937" s="1174"/>
      <c r="F937" s="1174"/>
      <c r="G937" s="1149"/>
    </row>
    <row r="938" spans="1:10" ht="24.75" x14ac:dyDescent="0.25">
      <c r="A938" s="1172" t="s">
        <v>2425</v>
      </c>
      <c r="B938" s="1161" t="s">
        <v>2446</v>
      </c>
      <c r="C938" s="1159"/>
      <c r="D938" s="1173"/>
      <c r="E938" s="1154"/>
      <c r="F938" s="1154"/>
      <c r="G938" s="1149"/>
    </row>
    <row r="939" spans="1:10" ht="15.75" thickBot="1" x14ac:dyDescent="0.3">
      <c r="A939" s="1172"/>
      <c r="B939" s="1161" t="s">
        <v>2447</v>
      </c>
      <c r="C939" s="1159">
        <v>1</v>
      </c>
      <c r="D939" s="1175" t="s">
        <v>222</v>
      </c>
      <c r="E939" s="1176">
        <v>222000</v>
      </c>
      <c r="F939" s="1176">
        <f>E939*C939</f>
        <v>222000</v>
      </c>
      <c r="G939" s="1149"/>
    </row>
    <row r="940" spans="1:10" ht="15.75" thickBot="1" x14ac:dyDescent="0.3">
      <c r="A940" s="1172"/>
      <c r="B940" s="1161"/>
      <c r="C940" s="1797" t="s">
        <v>548</v>
      </c>
      <c r="D940" s="1798"/>
      <c r="E940" s="1799"/>
      <c r="F940" s="1177">
        <f>F939</f>
        <v>222000</v>
      </c>
      <c r="G940" s="1156"/>
    </row>
    <row r="941" spans="1:10" x14ac:dyDescent="0.25">
      <c r="A941" s="1172" t="s">
        <v>2428</v>
      </c>
      <c r="B941" s="1178" t="s">
        <v>2448</v>
      </c>
      <c r="C941" s="1179"/>
      <c r="D941" s="1180"/>
      <c r="E941" s="1181"/>
      <c r="F941" s="1181"/>
      <c r="G941" s="1156"/>
      <c r="H941" s="83"/>
      <c r="I941" s="83"/>
      <c r="J941" s="83"/>
    </row>
    <row r="942" spans="1:10" x14ac:dyDescent="0.25">
      <c r="A942" s="1172"/>
      <c r="B942" s="1161" t="s">
        <v>1489</v>
      </c>
      <c r="C942" s="1550">
        <v>13</v>
      </c>
      <c r="D942" s="1182" t="s">
        <v>419</v>
      </c>
      <c r="E942" s="1183">
        <v>150000</v>
      </c>
      <c r="F942" s="1174">
        <f>E942*C942</f>
        <v>1950000</v>
      </c>
      <c r="G942" s="1149"/>
      <c r="H942" s="83"/>
      <c r="I942" s="83"/>
      <c r="J942" s="83"/>
    </row>
    <row r="943" spans="1:10" x14ac:dyDescent="0.25">
      <c r="A943" s="1172"/>
      <c r="B943" s="1161" t="s">
        <v>1490</v>
      </c>
      <c r="C943" s="1550">
        <v>26</v>
      </c>
      <c r="D943" s="1182" t="s">
        <v>419</v>
      </c>
      <c r="E943" s="1183">
        <v>130000</v>
      </c>
      <c r="F943" s="1174">
        <f>E943*C943</f>
        <v>3380000</v>
      </c>
      <c r="G943" s="1149"/>
      <c r="H943" s="83"/>
      <c r="I943" s="83"/>
      <c r="J943" s="83"/>
    </row>
    <row r="944" spans="1:10" ht="15.75" thickBot="1" x14ac:dyDescent="0.3">
      <c r="A944" s="1172"/>
      <c r="B944" s="1161"/>
      <c r="C944" s="1184"/>
      <c r="D944" s="1148"/>
      <c r="E944" s="1185"/>
      <c r="F944" s="1154"/>
      <c r="G944" s="1156"/>
      <c r="H944" s="83"/>
      <c r="I944" s="83"/>
      <c r="J944" s="83"/>
    </row>
    <row r="945" spans="1:20" ht="15.75" thickBot="1" x14ac:dyDescent="0.3">
      <c r="A945" s="1172"/>
      <c r="B945" s="1161"/>
      <c r="C945" s="1797" t="s">
        <v>548</v>
      </c>
      <c r="D945" s="1798"/>
      <c r="E945" s="1799"/>
      <c r="F945" s="1177">
        <f>SUM(F942:F944)</f>
        <v>5330000</v>
      </c>
      <c r="G945" s="1156"/>
    </row>
    <row r="946" spans="1:20" x14ac:dyDescent="0.25">
      <c r="A946" s="1172" t="s">
        <v>2429</v>
      </c>
      <c r="B946" s="1161" t="s">
        <v>2449</v>
      </c>
      <c r="C946" s="1186"/>
      <c r="D946" s="1187"/>
      <c r="E946" s="1185"/>
      <c r="F946" s="1185"/>
      <c r="G946" s="1156"/>
    </row>
    <row r="947" spans="1:20" x14ac:dyDescent="0.25">
      <c r="A947" s="1172"/>
      <c r="B947" s="1161" t="s">
        <v>2465</v>
      </c>
      <c r="C947" s="1184">
        <v>5</v>
      </c>
      <c r="D947" s="1148" t="s">
        <v>2310</v>
      </c>
      <c r="E947" s="1183">
        <v>943500</v>
      </c>
      <c r="F947" s="1188">
        <f>E947*C947</f>
        <v>4717500</v>
      </c>
      <c r="G947" s="1156"/>
      <c r="H947" s="83"/>
      <c r="I947" s="1082"/>
      <c r="J947" s="32"/>
      <c r="K947" s="32"/>
    </row>
    <row r="948" spans="1:20" x14ac:dyDescent="0.25">
      <c r="A948" s="1172"/>
      <c r="B948" s="1189" t="s">
        <v>2466</v>
      </c>
      <c r="C948" s="1184">
        <v>4</v>
      </c>
      <c r="D948" s="1173" t="s">
        <v>95</v>
      </c>
      <c r="E948" s="1190">
        <v>122100</v>
      </c>
      <c r="F948" s="1188">
        <f>E948*C948</f>
        <v>488400</v>
      </c>
      <c r="G948" s="1156"/>
      <c r="I948" s="1082"/>
      <c r="J948" s="32"/>
      <c r="K948" s="32"/>
    </row>
    <row r="949" spans="1:20" x14ac:dyDescent="0.25">
      <c r="A949" s="1191"/>
      <c r="B949" s="1192" t="s">
        <v>2467</v>
      </c>
      <c r="C949" s="1149">
        <v>1</v>
      </c>
      <c r="D949" s="1149" t="s">
        <v>1694</v>
      </c>
      <c r="E949" s="1190">
        <v>427500</v>
      </c>
      <c r="F949" s="1154">
        <f>E949*C949</f>
        <v>427500</v>
      </c>
      <c r="G949" s="1191"/>
      <c r="I949" s="1082"/>
      <c r="J949" s="32"/>
      <c r="K949" s="32"/>
    </row>
    <row r="950" spans="1:20" ht="15.75" thickBot="1" x14ac:dyDescent="0.3">
      <c r="A950" s="1191"/>
      <c r="B950" s="1192" t="s">
        <v>2468</v>
      </c>
      <c r="C950" s="1163">
        <v>1</v>
      </c>
      <c r="D950" s="1163" t="s">
        <v>178</v>
      </c>
      <c r="E950" s="1551">
        <v>388500</v>
      </c>
      <c r="F950" s="1154">
        <f>E950*C950</f>
        <v>388500</v>
      </c>
      <c r="G950" s="1180"/>
      <c r="I950" s="1082"/>
      <c r="J950" s="32"/>
      <c r="K950" s="32"/>
    </row>
    <row r="951" spans="1:20" ht="15.75" thickBot="1" x14ac:dyDescent="0.3">
      <c r="A951" s="1191"/>
      <c r="B951" s="1196"/>
      <c r="C951" s="1800" t="s">
        <v>548</v>
      </c>
      <c r="D951" s="1801"/>
      <c r="E951" s="1802"/>
      <c r="F951" s="1197">
        <f>SUM(F947:F950)</f>
        <v>6021900</v>
      </c>
      <c r="G951" s="1195"/>
    </row>
    <row r="952" spans="1:20" x14ac:dyDescent="0.25">
      <c r="A952" s="1191"/>
      <c r="B952" s="1193"/>
      <c r="C952" s="1198"/>
      <c r="D952" s="1199"/>
      <c r="E952" s="1200"/>
      <c r="F952" s="1201"/>
      <c r="G952" s="1191"/>
    </row>
    <row r="953" spans="1:20" x14ac:dyDescent="0.25">
      <c r="A953" s="1191"/>
      <c r="B953" s="1803" t="s">
        <v>26</v>
      </c>
      <c r="C953" s="1803"/>
      <c r="D953" s="1803"/>
      <c r="E953" s="1803"/>
      <c r="F953" s="1202">
        <f>F951+F945+F940</f>
        <v>11573900</v>
      </c>
      <c r="G953" s="1203" t="s">
        <v>1845</v>
      </c>
      <c r="K953" s="32"/>
      <c r="T953" s="32"/>
    </row>
    <row r="954" spans="1:20" x14ac:dyDescent="0.25">
      <c r="A954" s="1762" t="s">
        <v>0</v>
      </c>
      <c r="B954" s="1762"/>
      <c r="C954" s="1762"/>
      <c r="D954" s="1762"/>
      <c r="E954" s="1762"/>
      <c r="F954" s="1762"/>
      <c r="G954" s="1762"/>
    </row>
    <row r="955" spans="1:20" x14ac:dyDescent="0.25">
      <c r="A955" s="1762" t="s">
        <v>1</v>
      </c>
      <c r="B955" s="1762"/>
      <c r="C955" s="1762"/>
      <c r="D955" s="1762"/>
      <c r="E955" s="1762"/>
      <c r="F955" s="1762"/>
      <c r="G955" s="1762"/>
    </row>
    <row r="956" spans="1:20" x14ac:dyDescent="0.25">
      <c r="A956" s="1762" t="s">
        <v>1769</v>
      </c>
      <c r="B956" s="1762"/>
      <c r="C956" s="1762"/>
      <c r="D956" s="1762"/>
      <c r="E956" s="1762"/>
      <c r="F956" s="1762"/>
      <c r="G956" s="1762"/>
    </row>
    <row r="957" spans="1:20" x14ac:dyDescent="0.25">
      <c r="A957" s="185"/>
      <c r="B957" s="185"/>
      <c r="C957" s="184"/>
      <c r="D957" s="184"/>
      <c r="E957" s="185"/>
      <c r="F957" s="185"/>
      <c r="G957" s="185"/>
    </row>
    <row r="958" spans="1:20" x14ac:dyDescent="0.25">
      <c r="A958" s="186" t="s">
        <v>359</v>
      </c>
      <c r="B958" s="187" t="s">
        <v>57</v>
      </c>
      <c r="C958" s="188"/>
      <c r="D958" s="189"/>
      <c r="E958" s="190"/>
      <c r="F958" s="190"/>
      <c r="G958" s="260"/>
    </row>
    <row r="959" spans="1:20" x14ac:dyDescent="0.25">
      <c r="A959" s="220" t="s">
        <v>360</v>
      </c>
      <c r="B959" s="254" t="s">
        <v>2443</v>
      </c>
      <c r="C959" s="254"/>
      <c r="D959" s="254"/>
      <c r="E959" s="558"/>
      <c r="F959" s="227" t="s">
        <v>6</v>
      </c>
      <c r="G959" s="227" t="s">
        <v>63</v>
      </c>
    </row>
    <row r="960" spans="1:20" ht="36" x14ac:dyDescent="0.25">
      <c r="A960" s="220" t="s">
        <v>362</v>
      </c>
      <c r="B960" s="254" t="s">
        <v>2485</v>
      </c>
      <c r="C960" s="254"/>
      <c r="D960" s="254"/>
      <c r="E960" s="254"/>
      <c r="F960" s="254" t="s">
        <v>329</v>
      </c>
      <c r="G960" s="220" t="s">
        <v>63</v>
      </c>
    </row>
    <row r="961" spans="1:7" x14ac:dyDescent="0.25">
      <c r="A961" s="218" t="s">
        <v>545</v>
      </c>
      <c r="B961" s="218" t="s">
        <v>2486</v>
      </c>
      <c r="C961" s="260"/>
      <c r="D961" s="260"/>
      <c r="E961" s="260"/>
      <c r="F961" s="260"/>
      <c r="G961" s="260"/>
    </row>
    <row r="962" spans="1:7" x14ac:dyDescent="0.25">
      <c r="A962" s="185" t="s">
        <v>422</v>
      </c>
      <c r="B962" s="185" t="s">
        <v>546</v>
      </c>
      <c r="C962" s="184"/>
      <c r="D962" s="184"/>
      <c r="E962" s="185"/>
      <c r="F962" s="185"/>
      <c r="G962" s="185"/>
    </row>
    <row r="963" spans="1:7" x14ac:dyDescent="0.25">
      <c r="A963" s="1763" t="s">
        <v>503</v>
      </c>
      <c r="B963" s="1763"/>
      <c r="C963" s="260"/>
      <c r="D963" s="260"/>
      <c r="E963" s="190"/>
      <c r="F963" s="188"/>
      <c r="G963" s="185"/>
    </row>
    <row r="964" spans="1:7" x14ac:dyDescent="0.25">
      <c r="A964" s="260"/>
      <c r="B964" s="260"/>
      <c r="C964" s="260"/>
      <c r="D964" s="260"/>
      <c r="E964" s="260"/>
      <c r="F964" s="260"/>
      <c r="G964" s="185"/>
    </row>
    <row r="965" spans="1:7" ht="24" x14ac:dyDescent="0.25">
      <c r="A965" s="198" t="s">
        <v>30</v>
      </c>
      <c r="B965" s="198" t="s">
        <v>11</v>
      </c>
      <c r="C965" s="1767" t="s">
        <v>12</v>
      </c>
      <c r="D965" s="1768"/>
      <c r="E965" s="446" t="s">
        <v>13</v>
      </c>
      <c r="F965" s="268" t="s">
        <v>14</v>
      </c>
      <c r="G965" s="200" t="s">
        <v>364</v>
      </c>
    </row>
    <row r="966" spans="1:7" x14ac:dyDescent="0.25">
      <c r="A966" s="197">
        <v>1</v>
      </c>
      <c r="B966" s="197">
        <v>2</v>
      </c>
      <c r="C966" s="1773">
        <v>3</v>
      </c>
      <c r="D966" s="1774"/>
      <c r="E966" s="447">
        <v>4</v>
      </c>
      <c r="F966" s="205">
        <v>5</v>
      </c>
      <c r="G966" s="202">
        <v>6</v>
      </c>
    </row>
    <row r="967" spans="1:7" x14ac:dyDescent="0.25">
      <c r="A967" s="212" t="s">
        <v>2422</v>
      </c>
      <c r="B967" s="238" t="s">
        <v>424</v>
      </c>
      <c r="C967" s="214"/>
      <c r="D967" s="244"/>
      <c r="E967" s="402"/>
      <c r="F967" s="402"/>
      <c r="G967" s="199"/>
    </row>
    <row r="968" spans="1:7" ht="24" x14ac:dyDescent="0.25">
      <c r="A968" s="212" t="s">
        <v>2423</v>
      </c>
      <c r="B968" s="238" t="s">
        <v>2445</v>
      </c>
      <c r="C968" s="214"/>
      <c r="D968" s="244"/>
      <c r="E968" s="402"/>
      <c r="F968" s="402"/>
      <c r="G968" s="199"/>
    </row>
    <row r="969" spans="1:7" ht="24.75" x14ac:dyDescent="0.25">
      <c r="A969" s="212" t="s">
        <v>2425</v>
      </c>
      <c r="B969" s="213" t="s">
        <v>2446</v>
      </c>
      <c r="C969" s="214"/>
      <c r="D969" s="244"/>
      <c r="E969" s="239"/>
      <c r="F969" s="239"/>
      <c r="G969" s="199"/>
    </row>
    <row r="970" spans="1:7" ht="15.75" thickBot="1" x14ac:dyDescent="0.3">
      <c r="A970" s="212"/>
      <c r="B970" s="213" t="s">
        <v>2447</v>
      </c>
      <c r="C970" s="214">
        <v>1</v>
      </c>
      <c r="D970" s="365" t="s">
        <v>222</v>
      </c>
      <c r="E970" s="1710">
        <v>727600</v>
      </c>
      <c r="F970" s="1710">
        <f>E970*C970</f>
        <v>727600</v>
      </c>
      <c r="G970" s="199"/>
    </row>
    <row r="971" spans="1:7" ht="15.75" thickBot="1" x14ac:dyDescent="0.3">
      <c r="A971" s="212"/>
      <c r="B971" s="213"/>
      <c r="C971" s="1775" t="s">
        <v>548</v>
      </c>
      <c r="D971" s="1776"/>
      <c r="E971" s="1777"/>
      <c r="F971" s="1711">
        <f>F970</f>
        <v>727600</v>
      </c>
      <c r="G971" s="217"/>
    </row>
    <row r="972" spans="1:7" x14ac:dyDescent="0.25">
      <c r="A972" s="212" t="s">
        <v>2428</v>
      </c>
      <c r="B972" s="535" t="s">
        <v>2448</v>
      </c>
      <c r="C972" s="1712"/>
      <c r="D972" s="1713"/>
      <c r="E972" s="145"/>
      <c r="F972" s="145"/>
      <c r="G972" s="217"/>
    </row>
    <row r="973" spans="1:7" x14ac:dyDescent="0.25">
      <c r="A973" s="212"/>
      <c r="B973" s="213" t="s">
        <v>1490</v>
      </c>
      <c r="C973" s="1714">
        <v>20</v>
      </c>
      <c r="D973" s="404" t="s">
        <v>419</v>
      </c>
      <c r="E973" s="231">
        <v>130000</v>
      </c>
      <c r="F973" s="402">
        <f>E973*C973</f>
        <v>2600000</v>
      </c>
      <c r="G973" s="199"/>
    </row>
    <row r="974" spans="1:7" ht="15.75" thickBot="1" x14ac:dyDescent="0.3">
      <c r="A974" s="212"/>
      <c r="B974" s="213"/>
      <c r="C974" s="1715"/>
      <c r="D974" s="206"/>
      <c r="E974" s="705"/>
      <c r="F974" s="239"/>
      <c r="G974" s="217"/>
    </row>
    <row r="975" spans="1:7" ht="15.75" thickBot="1" x14ac:dyDescent="0.3">
      <c r="A975" s="212"/>
      <c r="B975" s="213"/>
      <c r="C975" s="1775" t="s">
        <v>548</v>
      </c>
      <c r="D975" s="1776"/>
      <c r="E975" s="1777"/>
      <c r="F975" s="1711">
        <f>F974+F973</f>
        <v>2600000</v>
      </c>
      <c r="G975" s="217"/>
    </row>
    <row r="976" spans="1:7" x14ac:dyDescent="0.25">
      <c r="A976" s="212" t="s">
        <v>2429</v>
      </c>
      <c r="B976" s="213" t="s">
        <v>2449</v>
      </c>
      <c r="C976" s="1716"/>
      <c r="D976" s="236"/>
      <c r="E976" s="705"/>
      <c r="F976" s="705"/>
      <c r="G976" s="217"/>
    </row>
    <row r="977" spans="1:22" x14ac:dyDescent="0.25">
      <c r="A977" s="212"/>
      <c r="B977" s="213" t="s">
        <v>2487</v>
      </c>
      <c r="C977" s="1715">
        <v>9</v>
      </c>
      <c r="D977" s="206" t="s">
        <v>843</v>
      </c>
      <c r="E977" s="231">
        <v>350000</v>
      </c>
      <c r="F977" s="366">
        <f>E977*C977</f>
        <v>3150000</v>
      </c>
      <c r="G977" s="217"/>
      <c r="V977" s="1082"/>
    </row>
    <row r="978" spans="1:22" x14ac:dyDescent="0.25">
      <c r="A978" s="212"/>
      <c r="B978" s="1717" t="s">
        <v>2488</v>
      </c>
      <c r="C978" s="1715">
        <v>1692</v>
      </c>
      <c r="D978" s="244" t="s">
        <v>110</v>
      </c>
      <c r="E978" s="1718">
        <v>15000</v>
      </c>
      <c r="F978" s="366">
        <f>E978*C978</f>
        <v>25380000</v>
      </c>
      <c r="G978" s="217"/>
    </row>
    <row r="979" spans="1:22" x14ac:dyDescent="0.25">
      <c r="A979" s="1"/>
      <c r="B979" s="427" t="s">
        <v>2489</v>
      </c>
      <c r="C979" s="199">
        <v>1</v>
      </c>
      <c r="D979" s="199" t="s">
        <v>178</v>
      </c>
      <c r="E979" s="1718">
        <v>5000000</v>
      </c>
      <c r="F979" s="239">
        <f>E979*C979</f>
        <v>5000000</v>
      </c>
      <c r="G979" s="1"/>
    </row>
    <row r="980" spans="1:22" ht="15.75" thickBot="1" x14ac:dyDescent="0.3">
      <c r="A980" s="1"/>
      <c r="B980" s="252"/>
      <c r="C980" s="235"/>
      <c r="D980" s="365"/>
      <c r="E980" s="1719"/>
      <c r="F980" s="1710"/>
      <c r="G980" s="1720"/>
    </row>
    <row r="981" spans="1:22" ht="15.75" thickBot="1" x14ac:dyDescent="0.3">
      <c r="A981" s="1"/>
      <c r="B981" s="967"/>
      <c r="C981" s="1778" t="s">
        <v>548</v>
      </c>
      <c r="D981" s="1779"/>
      <c r="E981" s="1780"/>
      <c r="F981" s="1721">
        <f>SUM(F977:F980)</f>
        <v>33530000</v>
      </c>
      <c r="G981" s="1720"/>
    </row>
    <row r="982" spans="1:22" x14ac:dyDescent="0.25">
      <c r="A982" s="1"/>
      <c r="B982" s="252"/>
      <c r="C982" s="1722"/>
      <c r="D982" s="1723"/>
      <c r="E982" s="1724"/>
      <c r="F982" s="1725"/>
      <c r="G982" s="1"/>
    </row>
    <row r="983" spans="1:22" x14ac:dyDescent="0.25">
      <c r="A983" s="1"/>
      <c r="B983" s="1772" t="s">
        <v>26</v>
      </c>
      <c r="C983" s="1772"/>
      <c r="D983" s="1772"/>
      <c r="E983" s="1772"/>
      <c r="F983" s="31">
        <f>F981+F975+F971</f>
        <v>36857600</v>
      </c>
      <c r="G983" s="4" t="s">
        <v>1417</v>
      </c>
      <c r="P983" s="32">
        <f>F983</f>
        <v>36857600</v>
      </c>
    </row>
    <row r="984" spans="1:22" x14ac:dyDescent="0.25">
      <c r="A984" s="1762" t="s">
        <v>549</v>
      </c>
      <c r="B984" s="1762"/>
      <c r="C984" s="188" t="s">
        <v>27</v>
      </c>
      <c r="D984" s="1763" t="s">
        <v>1426</v>
      </c>
      <c r="E984" s="1763"/>
      <c r="F984" s="1763"/>
      <c r="G984" s="188"/>
    </row>
    <row r="985" spans="1:22" x14ac:dyDescent="0.25">
      <c r="A985" s="1762" t="s">
        <v>28</v>
      </c>
      <c r="B985" s="1762"/>
      <c r="C985" s="188"/>
      <c r="D985" s="1764" t="s">
        <v>2833</v>
      </c>
      <c r="E985" s="1764"/>
      <c r="F985" s="1764"/>
      <c r="G985" s="188"/>
      <c r="H985" s="36"/>
    </row>
    <row r="986" spans="1:22" x14ac:dyDescent="0.25">
      <c r="A986" s="186"/>
      <c r="B986" s="187"/>
      <c r="C986" s="188"/>
      <c r="D986" s="189"/>
      <c r="E986" s="218"/>
      <c r="F986" s="218"/>
      <c r="G986" s="188"/>
    </row>
    <row r="987" spans="1:22" x14ac:dyDescent="0.25">
      <c r="A987" s="186"/>
      <c r="B987" s="187"/>
      <c r="C987" s="188"/>
      <c r="D987" s="189"/>
      <c r="E987" s="218"/>
      <c r="F987" s="218"/>
      <c r="G987" s="188"/>
    </row>
    <row r="988" spans="1:22" x14ac:dyDescent="0.25">
      <c r="A988" s="1762"/>
      <c r="B988" s="1762"/>
      <c r="C988" s="188"/>
      <c r="D988" s="189"/>
      <c r="E988" s="1762"/>
      <c r="F988" s="1762"/>
      <c r="G988" s="188"/>
    </row>
    <row r="989" spans="1:22" x14ac:dyDescent="0.25">
      <c r="A989" s="1762" t="s">
        <v>29</v>
      </c>
      <c r="B989" s="1762"/>
      <c r="C989" s="188"/>
      <c r="D989" s="1762" t="s">
        <v>2954</v>
      </c>
      <c r="E989" s="1762"/>
      <c r="F989" s="1762"/>
      <c r="G989" s="188"/>
    </row>
    <row r="990" spans="1:22" x14ac:dyDescent="0.25">
      <c r="A990" s="1765" t="s">
        <v>0</v>
      </c>
      <c r="B990" s="1765"/>
      <c r="C990" s="1765"/>
      <c r="D990" s="1765"/>
      <c r="E990" s="1765"/>
      <c r="F990" s="1765"/>
      <c r="G990" s="1765"/>
    </row>
    <row r="991" spans="1:22" x14ac:dyDescent="0.25">
      <c r="A991" s="1765" t="s">
        <v>1</v>
      </c>
      <c r="B991" s="1765"/>
      <c r="C991" s="1765"/>
      <c r="D991" s="1765"/>
      <c r="E991" s="1765"/>
      <c r="F991" s="1765"/>
      <c r="G991" s="1765"/>
    </row>
    <row r="992" spans="1:22" x14ac:dyDescent="0.25">
      <c r="A992" s="1765" t="s">
        <v>1769</v>
      </c>
      <c r="B992" s="1765"/>
      <c r="C992" s="1765"/>
      <c r="D992" s="1765"/>
      <c r="E992" s="1765"/>
      <c r="F992" s="1765"/>
      <c r="G992" s="1765"/>
    </row>
    <row r="993" spans="1:7" x14ac:dyDescent="0.25">
      <c r="A993" s="184"/>
      <c r="B993" s="184"/>
      <c r="C993" s="184"/>
      <c r="D993" s="184"/>
      <c r="E993" s="184"/>
      <c r="F993" s="184"/>
      <c r="G993" s="184"/>
    </row>
    <row r="994" spans="1:7" x14ac:dyDescent="0.25">
      <c r="A994" s="263" t="s">
        <v>261</v>
      </c>
      <c r="B994" s="225" t="s">
        <v>3</v>
      </c>
      <c r="C994" s="263"/>
      <c r="D994" s="263"/>
      <c r="E994" s="227" t="s">
        <v>6</v>
      </c>
      <c r="F994" s="227"/>
    </row>
    <row r="995" spans="1:7" ht="38.25" x14ac:dyDescent="0.25">
      <c r="A995" s="263" t="s">
        <v>262</v>
      </c>
      <c r="B995" s="225" t="s">
        <v>328</v>
      </c>
      <c r="C995" s="263"/>
      <c r="D995" s="263"/>
      <c r="E995" s="254" t="s">
        <v>329</v>
      </c>
      <c r="F995" s="220"/>
    </row>
    <row r="996" spans="1:7" ht="51" x14ac:dyDescent="0.25">
      <c r="A996" s="265" t="s">
        <v>263</v>
      </c>
      <c r="B996" s="265" t="s">
        <v>330</v>
      </c>
      <c r="C996" s="265"/>
      <c r="D996" s="265"/>
      <c r="E996" s="265"/>
      <c r="F996" s="265"/>
    </row>
    <row r="997" spans="1:7" x14ac:dyDescent="0.25">
      <c r="A997" s="226" t="s">
        <v>60</v>
      </c>
      <c r="B997" s="226" t="s">
        <v>61</v>
      </c>
      <c r="C997" s="226"/>
      <c r="D997" s="188"/>
      <c r="E997" s="188"/>
      <c r="F997" s="188"/>
    </row>
    <row r="998" spans="1:7" x14ac:dyDescent="0.25">
      <c r="A998" s="226" t="s">
        <v>62</v>
      </c>
      <c r="B998" s="226" t="s">
        <v>63</v>
      </c>
      <c r="C998" s="226"/>
      <c r="D998" s="1763"/>
      <c r="E998" s="1763"/>
      <c r="F998" s="188"/>
    </row>
    <row r="999" spans="1:7" x14ac:dyDescent="0.25">
      <c r="A999" s="187"/>
      <c r="B999" s="187"/>
      <c r="C999" s="187"/>
      <c r="D999" s="187"/>
      <c r="E999" s="187"/>
      <c r="F999" s="187"/>
    </row>
    <row r="1000" spans="1:7" ht="24" x14ac:dyDescent="0.25">
      <c r="A1000" s="198" t="s">
        <v>265</v>
      </c>
      <c r="B1000" s="198" t="s">
        <v>11</v>
      </c>
      <c r="C1000" s="1766" t="s">
        <v>12</v>
      </c>
      <c r="D1000" s="1766"/>
      <c r="E1000" s="267" t="s">
        <v>13</v>
      </c>
      <c r="F1000" s="268" t="s">
        <v>14</v>
      </c>
      <c r="G1000" s="34" t="s">
        <v>266</v>
      </c>
    </row>
    <row r="1001" spans="1:7" x14ac:dyDescent="0.25">
      <c r="A1001" s="198">
        <v>1</v>
      </c>
      <c r="B1001" s="198">
        <v>2</v>
      </c>
      <c r="C1001" s="1767">
        <v>3</v>
      </c>
      <c r="D1001" s="1768"/>
      <c r="E1001" s="269">
        <v>4</v>
      </c>
      <c r="F1001" s="268">
        <v>5</v>
      </c>
      <c r="G1001" s="35">
        <v>6</v>
      </c>
    </row>
    <row r="1002" spans="1:7" ht="18.75" x14ac:dyDescent="0.3">
      <c r="A1002" s="212"/>
      <c r="B1002" s="401" t="s">
        <v>331</v>
      </c>
      <c r="C1002" s="214"/>
      <c r="D1002" s="244"/>
      <c r="E1002" s="402"/>
      <c r="F1002" s="402"/>
      <c r="G1002" s="222"/>
    </row>
    <row r="1003" spans="1:7" x14ac:dyDescent="0.25">
      <c r="A1003" s="212" t="s">
        <v>332</v>
      </c>
      <c r="B1003" s="403" t="s">
        <v>287</v>
      </c>
      <c r="C1003" s="208"/>
      <c r="D1003" s="404"/>
      <c r="E1003" s="402"/>
      <c r="F1003" s="402"/>
      <c r="G1003" s="222"/>
    </row>
    <row r="1004" spans="1:7" x14ac:dyDescent="0.25">
      <c r="A1004" s="212" t="s">
        <v>333</v>
      </c>
      <c r="B1004" s="403" t="s">
        <v>86</v>
      </c>
      <c r="C1004" s="208"/>
      <c r="D1004" s="404"/>
      <c r="E1004" s="402"/>
      <c r="F1004" s="402"/>
      <c r="G1004" s="369"/>
    </row>
    <row r="1005" spans="1:7" x14ac:dyDescent="0.25">
      <c r="A1005" s="212" t="s">
        <v>334</v>
      </c>
      <c r="B1005" s="405" t="s">
        <v>317</v>
      </c>
      <c r="C1005" s="406"/>
      <c r="D1005" s="244"/>
      <c r="E1005" s="231"/>
      <c r="F1005" s="239"/>
      <c r="G1005" s="369"/>
    </row>
    <row r="1006" spans="1:7" x14ac:dyDescent="0.25">
      <c r="A1006" s="217"/>
      <c r="B1006" s="217" t="s">
        <v>335</v>
      </c>
      <c r="C1006" s="214">
        <v>50</v>
      </c>
      <c r="D1006" s="244" t="s">
        <v>161</v>
      </c>
      <c r="E1006" s="231">
        <v>15000</v>
      </c>
      <c r="F1006" s="239">
        <f>E1006*C1006</f>
        <v>750000</v>
      </c>
      <c r="G1006" s="369"/>
    </row>
    <row r="1007" spans="1:7" x14ac:dyDescent="0.25">
      <c r="A1007" s="217"/>
      <c r="B1007" s="217"/>
      <c r="C1007" s="214"/>
      <c r="D1007" s="244"/>
      <c r="E1007" s="231"/>
      <c r="F1007" s="239"/>
      <c r="G1007" s="369"/>
    </row>
    <row r="1008" spans="1:7" x14ac:dyDescent="0.25">
      <c r="A1008" s="212" t="s">
        <v>336</v>
      </c>
      <c r="B1008" s="213" t="s">
        <v>337</v>
      </c>
      <c r="C1008" s="214"/>
      <c r="D1008" s="407"/>
      <c r="E1008" s="215"/>
      <c r="F1008" s="408"/>
      <c r="G1008" s="369"/>
    </row>
    <row r="1009" spans="1:7" x14ac:dyDescent="0.25">
      <c r="A1009" s="217"/>
      <c r="B1009" s="217" t="s">
        <v>338</v>
      </c>
      <c r="C1009" s="214">
        <v>1</v>
      </c>
      <c r="D1009" s="407" t="s">
        <v>95</v>
      </c>
      <c r="E1009" s="215">
        <v>90000</v>
      </c>
      <c r="F1009" s="408">
        <f>E1009*C1009</f>
        <v>90000</v>
      </c>
      <c r="G1009" s="369"/>
    </row>
    <row r="1010" spans="1:7" x14ac:dyDescent="0.25">
      <c r="A1010" s="217"/>
      <c r="B1010" s="217"/>
      <c r="C1010" s="214"/>
      <c r="D1010" s="407"/>
      <c r="E1010" s="215"/>
      <c r="F1010" s="408"/>
      <c r="G1010" s="369"/>
    </row>
    <row r="1011" spans="1:7" x14ac:dyDescent="0.25">
      <c r="A1011" s="212" t="s">
        <v>339</v>
      </c>
      <c r="B1011" s="213" t="s">
        <v>340</v>
      </c>
      <c r="C1011" s="214"/>
      <c r="D1011" s="407"/>
      <c r="E1011" s="215"/>
      <c r="F1011" s="408"/>
      <c r="G1011" s="369"/>
    </row>
    <row r="1012" spans="1:7" x14ac:dyDescent="0.25">
      <c r="A1012" s="217"/>
      <c r="B1012" s="217" t="s">
        <v>341</v>
      </c>
      <c r="C1012" s="214">
        <v>1</v>
      </c>
      <c r="D1012" s="407" t="s">
        <v>92</v>
      </c>
      <c r="E1012" s="215">
        <v>50000</v>
      </c>
      <c r="F1012" s="408">
        <f>C1012*E1012</f>
        <v>50000</v>
      </c>
      <c r="G1012" s="369"/>
    </row>
    <row r="1013" spans="1:7" x14ac:dyDescent="0.25">
      <c r="A1013" s="217"/>
      <c r="B1013" s="217" t="s">
        <v>285</v>
      </c>
      <c r="C1013" s="214">
        <v>5</v>
      </c>
      <c r="D1013" s="407" t="s">
        <v>165</v>
      </c>
      <c r="E1013" s="215">
        <v>3000</v>
      </c>
      <c r="F1013" s="408">
        <f>C1013*E1013</f>
        <v>15000</v>
      </c>
      <c r="G1013" s="369"/>
    </row>
    <row r="1014" spans="1:7" x14ac:dyDescent="0.25">
      <c r="A1014" s="217"/>
      <c r="B1014" s="217" t="s">
        <v>299</v>
      </c>
      <c r="C1014" s="214">
        <v>1</v>
      </c>
      <c r="D1014" s="407" t="s">
        <v>300</v>
      </c>
      <c r="E1014" s="215">
        <v>1000</v>
      </c>
      <c r="F1014" s="408">
        <f>C1014*E1014</f>
        <v>1000</v>
      </c>
      <c r="G1014" s="369"/>
    </row>
    <row r="1015" spans="1:7" x14ac:dyDescent="0.25">
      <c r="A1015" s="217"/>
      <c r="B1015" s="217"/>
      <c r="C1015" s="214"/>
      <c r="D1015" s="407"/>
      <c r="E1015" s="215"/>
      <c r="F1015" s="408"/>
      <c r="G1015" s="369"/>
    </row>
    <row r="1016" spans="1:7" ht="18.75" x14ac:dyDescent="0.25">
      <c r="A1016" s="217"/>
      <c r="B1016" s="409" t="s">
        <v>342</v>
      </c>
      <c r="C1016" s="214"/>
      <c r="D1016" s="407"/>
      <c r="E1016" s="215"/>
      <c r="F1016" s="408"/>
      <c r="G1016" s="369"/>
    </row>
    <row r="1017" spans="1:7" x14ac:dyDescent="0.25">
      <c r="A1017" s="217"/>
      <c r="B1017" s="217"/>
      <c r="C1017" s="214"/>
      <c r="D1017" s="407"/>
      <c r="E1017" s="215"/>
      <c r="F1017" s="408"/>
      <c r="G1017" s="369"/>
    </row>
    <row r="1018" spans="1:7" x14ac:dyDescent="0.25">
      <c r="A1018" s="212" t="s">
        <v>332</v>
      </c>
      <c r="B1018" s="403" t="s">
        <v>287</v>
      </c>
      <c r="C1018" s="208"/>
      <c r="D1018" s="404"/>
      <c r="E1018" s="402"/>
      <c r="F1018" s="402"/>
      <c r="G1018" s="369"/>
    </row>
    <row r="1019" spans="1:7" x14ac:dyDescent="0.25">
      <c r="A1019" s="212" t="s">
        <v>333</v>
      </c>
      <c r="B1019" s="403" t="s">
        <v>86</v>
      </c>
      <c r="C1019" s="208"/>
      <c r="D1019" s="404"/>
      <c r="E1019" s="402"/>
      <c r="F1019" s="402"/>
      <c r="G1019" s="369"/>
    </row>
    <row r="1020" spans="1:7" x14ac:dyDescent="0.25">
      <c r="A1020" s="212" t="s">
        <v>343</v>
      </c>
      <c r="B1020" s="217" t="s">
        <v>344</v>
      </c>
      <c r="C1020" s="214"/>
      <c r="D1020" s="407"/>
      <c r="E1020" s="215"/>
      <c r="F1020" s="408"/>
      <c r="G1020" s="369"/>
    </row>
    <row r="1021" spans="1:7" x14ac:dyDescent="0.25">
      <c r="A1021" s="217"/>
      <c r="B1021" s="217" t="s">
        <v>345</v>
      </c>
      <c r="C1021" s="214">
        <v>16000</v>
      </c>
      <c r="D1021" s="407" t="s">
        <v>276</v>
      </c>
      <c r="E1021" s="215">
        <v>300</v>
      </c>
      <c r="F1021" s="408">
        <f>C1021*E1021</f>
        <v>4800000</v>
      </c>
      <c r="G1021" s="369"/>
    </row>
    <row r="1022" spans="1:7" x14ac:dyDescent="0.25">
      <c r="A1022" s="212"/>
      <c r="B1022" s="217" t="s">
        <v>346</v>
      </c>
      <c r="C1022" s="214">
        <v>62000</v>
      </c>
      <c r="D1022" s="407" t="s">
        <v>276</v>
      </c>
      <c r="E1022" s="215">
        <v>300</v>
      </c>
      <c r="F1022" s="408">
        <f>C1022*E1022</f>
        <v>18600000</v>
      </c>
      <c r="G1022" s="369"/>
    </row>
    <row r="1023" spans="1:7" x14ac:dyDescent="0.25">
      <c r="A1023" s="217"/>
      <c r="B1023" s="217" t="s">
        <v>347</v>
      </c>
      <c r="C1023" s="214">
        <v>1</v>
      </c>
      <c r="D1023" s="407" t="s">
        <v>178</v>
      </c>
      <c r="E1023" s="215">
        <v>10000000</v>
      </c>
      <c r="F1023" s="408">
        <f>E1023*C1023</f>
        <v>10000000</v>
      </c>
      <c r="G1023" s="369"/>
    </row>
    <row r="1024" spans="1:7" x14ac:dyDescent="0.25">
      <c r="A1024" s="217"/>
      <c r="B1024" s="217"/>
      <c r="C1024" s="214"/>
      <c r="D1024" s="407"/>
      <c r="E1024" s="215"/>
      <c r="F1024" s="408"/>
      <c r="G1024" s="369"/>
    </row>
    <row r="1025" spans="1:20" x14ac:dyDescent="0.25">
      <c r="A1025" s="217" t="s">
        <v>348</v>
      </c>
      <c r="B1025" s="217" t="s">
        <v>349</v>
      </c>
      <c r="C1025" s="214"/>
      <c r="D1025" s="249"/>
      <c r="E1025" s="231"/>
      <c r="F1025" s="239"/>
      <c r="G1025" s="369"/>
    </row>
    <row r="1026" spans="1:20" ht="24.75" x14ac:dyDescent="0.25">
      <c r="A1026" s="217" t="s">
        <v>350</v>
      </c>
      <c r="B1026" s="213" t="s">
        <v>351</v>
      </c>
      <c r="C1026" s="214"/>
      <c r="D1026" s="244"/>
      <c r="E1026" s="231"/>
      <c r="F1026" s="239"/>
      <c r="G1026" s="369"/>
    </row>
    <row r="1027" spans="1:20" x14ac:dyDescent="0.25">
      <c r="A1027" s="243"/>
      <c r="B1027" s="213" t="s">
        <v>188</v>
      </c>
      <c r="C1027" s="214">
        <v>1</v>
      </c>
      <c r="D1027" s="244" t="s">
        <v>279</v>
      </c>
      <c r="E1027" s="231">
        <v>300000</v>
      </c>
      <c r="F1027" s="239">
        <f>C1027*E1027</f>
        <v>300000</v>
      </c>
      <c r="G1027" s="369"/>
    </row>
    <row r="1028" spans="1:20" x14ac:dyDescent="0.25">
      <c r="A1028" s="243"/>
      <c r="B1028" s="213" t="s">
        <v>352</v>
      </c>
      <c r="C1028" s="214">
        <v>2</v>
      </c>
      <c r="D1028" s="244" t="s">
        <v>279</v>
      </c>
      <c r="E1028" s="231">
        <v>200000</v>
      </c>
      <c r="F1028" s="239">
        <f>C1028*E1028</f>
        <v>400000</v>
      </c>
      <c r="G1028" s="369"/>
    </row>
    <row r="1029" spans="1:20" x14ac:dyDescent="0.25">
      <c r="A1029" s="243"/>
      <c r="B1029" s="213"/>
      <c r="C1029" s="214"/>
      <c r="D1029" s="244"/>
      <c r="E1029" s="231"/>
      <c r="F1029" s="239"/>
      <c r="G1029" s="369"/>
    </row>
    <row r="1030" spans="1:20" x14ac:dyDescent="0.25">
      <c r="A1030" s="217" t="s">
        <v>353</v>
      </c>
      <c r="B1030" s="213" t="s">
        <v>354</v>
      </c>
      <c r="C1030" s="214"/>
      <c r="D1030" s="244"/>
      <c r="E1030" s="231"/>
      <c r="F1030" s="239"/>
      <c r="G1030" s="369"/>
    </row>
    <row r="1031" spans="1:20" x14ac:dyDescent="0.25">
      <c r="A1031" s="243"/>
      <c r="B1031" s="213" t="s">
        <v>355</v>
      </c>
      <c r="C1031" s="214">
        <v>1650</v>
      </c>
      <c r="D1031" s="244" t="s">
        <v>356</v>
      </c>
      <c r="E1031" s="231">
        <v>3000</v>
      </c>
      <c r="F1031" s="239">
        <f>E1031*C1031</f>
        <v>4950000</v>
      </c>
      <c r="G1031" s="369"/>
      <c r="H1031" t="s">
        <v>2746</v>
      </c>
    </row>
    <row r="1032" spans="1:20" x14ac:dyDescent="0.25">
      <c r="A1032" s="243"/>
      <c r="B1032" s="213" t="s">
        <v>357</v>
      </c>
      <c r="C1032" s="214">
        <v>1650</v>
      </c>
      <c r="D1032" s="244" t="s">
        <v>356</v>
      </c>
      <c r="E1032" s="231">
        <v>3000</v>
      </c>
      <c r="F1032" s="239">
        <f>E1032*C1032</f>
        <v>4950000</v>
      </c>
      <c r="G1032" s="369"/>
      <c r="H1032" t="s">
        <v>2747</v>
      </c>
    </row>
    <row r="1033" spans="1:20" x14ac:dyDescent="0.25">
      <c r="A1033" s="243"/>
      <c r="B1033" s="213"/>
      <c r="C1033" s="214"/>
      <c r="D1033" s="244"/>
      <c r="E1033" s="231"/>
      <c r="F1033" s="239"/>
      <c r="G1033" s="369"/>
    </row>
    <row r="1034" spans="1:20" x14ac:dyDescent="0.25">
      <c r="A1034" s="243"/>
      <c r="B1034" s="213"/>
      <c r="C1034" s="214"/>
      <c r="D1034" s="244"/>
      <c r="E1034" s="231"/>
      <c r="F1034" s="239"/>
      <c r="G1034" s="369"/>
    </row>
    <row r="1035" spans="1:20" ht="24.75" x14ac:dyDescent="0.25">
      <c r="A1035" s="243"/>
      <c r="B1035" s="1769" t="s">
        <v>26</v>
      </c>
      <c r="C1035" s="1770"/>
      <c r="D1035" s="1770"/>
      <c r="E1035" s="1771"/>
      <c r="F1035" s="252">
        <f>SUM(F1005:F1034)</f>
        <v>44906000</v>
      </c>
      <c r="G1035" s="369" t="s">
        <v>2571</v>
      </c>
      <c r="J1035" s="32"/>
      <c r="T1035" s="32">
        <f>F1035</f>
        <v>44906000</v>
      </c>
    </row>
    <row r="1036" spans="1:20" x14ac:dyDescent="0.25">
      <c r="A1036" s="253"/>
      <c r="B1036" s="187"/>
      <c r="C1036" s="188"/>
      <c r="D1036" s="189"/>
      <c r="E1036" s="190"/>
      <c r="F1036" s="191"/>
      <c r="G1036" s="188"/>
    </row>
    <row r="1037" spans="1:20" x14ac:dyDescent="0.25">
      <c r="A1037" s="1762" t="s">
        <v>549</v>
      </c>
      <c r="B1037" s="1762"/>
      <c r="C1037" s="188" t="s">
        <v>27</v>
      </c>
      <c r="D1037" s="1763" t="s">
        <v>1426</v>
      </c>
      <c r="E1037" s="1763"/>
      <c r="F1037" s="1763"/>
      <c r="G1037" s="188"/>
    </row>
    <row r="1038" spans="1:20" x14ac:dyDescent="0.25">
      <c r="A1038" s="1762" t="s">
        <v>28</v>
      </c>
      <c r="B1038" s="1762"/>
      <c r="C1038" s="188"/>
      <c r="D1038" s="1764" t="s">
        <v>2835</v>
      </c>
      <c r="E1038" s="1764"/>
      <c r="F1038" s="1764"/>
      <c r="G1038" s="188"/>
      <c r="H1038" s="36"/>
    </row>
    <row r="1039" spans="1:20" x14ac:dyDescent="0.25">
      <c r="A1039" s="186"/>
      <c r="B1039" s="187"/>
      <c r="C1039" s="188"/>
      <c r="D1039" s="189"/>
      <c r="E1039" s="218"/>
      <c r="F1039" s="218"/>
      <c r="G1039" s="188"/>
    </row>
    <row r="1040" spans="1:20" x14ac:dyDescent="0.25">
      <c r="A1040" s="186"/>
      <c r="B1040" s="187"/>
      <c r="C1040" s="188"/>
      <c r="D1040" s="189"/>
      <c r="E1040" s="218"/>
      <c r="F1040" s="218"/>
      <c r="G1040" s="188"/>
    </row>
    <row r="1041" spans="1:7" x14ac:dyDescent="0.25">
      <c r="A1041" s="1762"/>
      <c r="B1041" s="1762"/>
      <c r="C1041" s="188"/>
      <c r="D1041" s="189"/>
      <c r="E1041" s="1762"/>
      <c r="F1041" s="1762"/>
      <c r="G1041" s="188"/>
    </row>
    <row r="1042" spans="1:7" x14ac:dyDescent="0.25">
      <c r="A1042" s="1762" t="s">
        <v>29</v>
      </c>
      <c r="B1042" s="1762"/>
      <c r="C1042" s="188"/>
      <c r="D1042" s="1762" t="s">
        <v>2990</v>
      </c>
      <c r="E1042" s="1762"/>
      <c r="F1042" s="1762"/>
      <c r="G1042" s="188"/>
    </row>
    <row r="1043" spans="1:7" x14ac:dyDescent="0.25">
      <c r="A1043" s="1765" t="s">
        <v>0</v>
      </c>
      <c r="B1043" s="1765"/>
      <c r="C1043" s="1765"/>
      <c r="D1043" s="1765"/>
      <c r="E1043" s="1765"/>
      <c r="F1043" s="1765"/>
      <c r="G1043" s="1765"/>
    </row>
    <row r="1044" spans="1:7" x14ac:dyDescent="0.25">
      <c r="A1044" s="1765" t="s">
        <v>1</v>
      </c>
      <c r="B1044" s="1765"/>
      <c r="C1044" s="1765"/>
      <c r="D1044" s="1765"/>
      <c r="E1044" s="1765"/>
      <c r="F1044" s="1765"/>
      <c r="G1044" s="1765"/>
    </row>
    <row r="1045" spans="1:7" x14ac:dyDescent="0.25">
      <c r="A1045" s="1765" t="s">
        <v>1769</v>
      </c>
      <c r="B1045" s="1765"/>
      <c r="C1045" s="1765"/>
      <c r="D1045" s="1765"/>
      <c r="E1045" s="1765"/>
      <c r="F1045" s="1765"/>
      <c r="G1045" s="1765"/>
    </row>
    <row r="1046" spans="1:7" x14ac:dyDescent="0.25">
      <c r="A1046" s="184"/>
      <c r="B1046" s="184"/>
      <c r="C1046" s="184"/>
      <c r="D1046" s="184"/>
      <c r="E1046" s="184"/>
      <c r="F1046" s="184"/>
      <c r="G1046" s="184"/>
    </row>
    <row r="1047" spans="1:7" x14ac:dyDescent="0.25">
      <c r="A1047" s="263" t="s">
        <v>261</v>
      </c>
      <c r="B1047" s="225" t="s">
        <v>3</v>
      </c>
      <c r="C1047" s="263"/>
      <c r="D1047" s="263"/>
      <c r="E1047" s="227" t="s">
        <v>6</v>
      </c>
      <c r="F1047" s="227"/>
    </row>
    <row r="1048" spans="1:7" ht="38.25" x14ac:dyDescent="0.25">
      <c r="A1048" s="263" t="s">
        <v>262</v>
      </c>
      <c r="B1048" s="225" t="s">
        <v>328</v>
      </c>
      <c r="C1048" s="263"/>
      <c r="D1048" s="263"/>
      <c r="E1048" s="254" t="s">
        <v>329</v>
      </c>
      <c r="F1048" s="220"/>
    </row>
    <row r="1049" spans="1:7" ht="38.25" x14ac:dyDescent="0.25">
      <c r="A1049" s="265" t="s">
        <v>263</v>
      </c>
      <c r="B1049" s="265" t="s">
        <v>2655</v>
      </c>
      <c r="C1049" s="265"/>
      <c r="D1049" s="265"/>
      <c r="E1049" s="265"/>
      <c r="F1049" s="265"/>
    </row>
    <row r="1050" spans="1:7" x14ac:dyDescent="0.25">
      <c r="A1050" s="226" t="s">
        <v>60</v>
      </c>
      <c r="B1050" s="226" t="s">
        <v>61</v>
      </c>
      <c r="C1050" s="226"/>
      <c r="D1050" s="188"/>
      <c r="E1050" s="188"/>
      <c r="F1050" s="188"/>
    </row>
    <row r="1051" spans="1:7" x14ac:dyDescent="0.25">
      <c r="A1051" s="226" t="s">
        <v>62</v>
      </c>
      <c r="B1051" s="226" t="s">
        <v>63</v>
      </c>
      <c r="C1051" s="226"/>
      <c r="D1051" s="1763"/>
      <c r="E1051" s="1763"/>
      <c r="F1051" s="188"/>
    </row>
    <row r="1052" spans="1:7" x14ac:dyDescent="0.25">
      <c r="A1052" s="187"/>
      <c r="B1052" s="187"/>
      <c r="C1052" s="187"/>
      <c r="D1052" s="187"/>
      <c r="E1052" s="187"/>
      <c r="F1052" s="187"/>
    </row>
    <row r="1053" spans="1:7" ht="24" x14ac:dyDescent="0.25">
      <c r="A1053" s="198" t="s">
        <v>265</v>
      </c>
      <c r="B1053" s="198" t="s">
        <v>11</v>
      </c>
      <c r="C1053" s="1766" t="s">
        <v>12</v>
      </c>
      <c r="D1053" s="1766"/>
      <c r="E1053" s="267" t="s">
        <v>13</v>
      </c>
      <c r="F1053" s="268" t="s">
        <v>14</v>
      </c>
      <c r="G1053" s="34" t="s">
        <v>266</v>
      </c>
    </row>
    <row r="1054" spans="1:7" x14ac:dyDescent="0.25">
      <c r="A1054" s="198">
        <v>1</v>
      </c>
      <c r="B1054" s="198">
        <v>2</v>
      </c>
      <c r="C1054" s="1767">
        <v>3</v>
      </c>
      <c r="D1054" s="1768"/>
      <c r="E1054" s="269">
        <v>4</v>
      </c>
      <c r="F1054" s="268">
        <v>5</v>
      </c>
      <c r="G1054" s="35">
        <v>6</v>
      </c>
    </row>
    <row r="1055" spans="1:7" x14ac:dyDescent="0.25">
      <c r="A1055" s="212" t="s">
        <v>332</v>
      </c>
      <c r="B1055" s="403" t="s">
        <v>287</v>
      </c>
      <c r="C1055" s="208"/>
      <c r="D1055" s="404"/>
      <c r="E1055" s="402"/>
      <c r="F1055" s="402"/>
      <c r="G1055" s="222"/>
    </row>
    <row r="1056" spans="1:7" x14ac:dyDescent="0.25">
      <c r="A1056" s="212" t="s">
        <v>333</v>
      </c>
      <c r="B1056" s="403" t="s">
        <v>86</v>
      </c>
      <c r="C1056" s="208"/>
      <c r="D1056" s="404"/>
      <c r="E1056" s="402"/>
      <c r="F1056" s="402"/>
      <c r="G1056" s="369"/>
    </row>
    <row r="1057" spans="1:8" x14ac:dyDescent="0.25">
      <c r="A1057" s="212" t="s">
        <v>334</v>
      </c>
      <c r="B1057" s="405" t="s">
        <v>317</v>
      </c>
      <c r="C1057" s="406"/>
      <c r="D1057" s="244"/>
      <c r="E1057" s="231"/>
      <c r="F1057" s="239"/>
      <c r="G1057" s="369"/>
    </row>
    <row r="1058" spans="1:8" x14ac:dyDescent="0.25">
      <c r="A1058" s="217"/>
      <c r="B1058" s="217" t="s">
        <v>2707</v>
      </c>
      <c r="C1058" s="214">
        <f>15*10</f>
        <v>150</v>
      </c>
      <c r="D1058" s="244" t="s">
        <v>161</v>
      </c>
      <c r="E1058" s="231">
        <v>15000</v>
      </c>
      <c r="F1058" s="239">
        <f>E1058*C1058</f>
        <v>2250000</v>
      </c>
      <c r="G1058" s="369"/>
      <c r="H1058" t="s">
        <v>2742</v>
      </c>
    </row>
    <row r="1059" spans="1:8" x14ac:dyDescent="0.25">
      <c r="A1059" s="217"/>
      <c r="B1059" s="217"/>
      <c r="C1059" s="214"/>
      <c r="D1059" s="244"/>
      <c r="E1059" s="231"/>
      <c r="F1059" s="239"/>
      <c r="G1059" s="369"/>
    </row>
    <row r="1060" spans="1:8" x14ac:dyDescent="0.25">
      <c r="A1060" s="212" t="s">
        <v>336</v>
      </c>
      <c r="B1060" s="213" t="s">
        <v>337</v>
      </c>
      <c r="C1060" s="214"/>
      <c r="D1060" s="407"/>
      <c r="E1060" s="215"/>
      <c r="F1060" s="408"/>
      <c r="G1060" s="369"/>
    </row>
    <row r="1061" spans="1:8" x14ac:dyDescent="0.25">
      <c r="A1061" s="217"/>
      <c r="B1061" s="217" t="s">
        <v>338</v>
      </c>
      <c r="C1061" s="214">
        <v>1</v>
      </c>
      <c r="D1061" s="407" t="s">
        <v>95</v>
      </c>
      <c r="E1061" s="215">
        <v>90000</v>
      </c>
      <c r="F1061" s="408">
        <f>E1061*C1061</f>
        <v>90000</v>
      </c>
      <c r="G1061" s="369"/>
    </row>
    <row r="1062" spans="1:8" x14ac:dyDescent="0.25">
      <c r="A1062" s="217"/>
      <c r="B1062" s="217"/>
      <c r="C1062" s="214"/>
      <c r="D1062" s="407"/>
      <c r="E1062" s="215"/>
      <c r="F1062" s="408"/>
      <c r="G1062" s="369"/>
    </row>
    <row r="1063" spans="1:8" x14ac:dyDescent="0.25">
      <c r="A1063" s="212" t="s">
        <v>343</v>
      </c>
      <c r="B1063" s="217" t="s">
        <v>344</v>
      </c>
      <c r="C1063" s="214"/>
      <c r="D1063" s="407"/>
      <c r="E1063" s="215"/>
      <c r="F1063" s="408"/>
      <c r="G1063" s="369"/>
    </row>
    <row r="1064" spans="1:8" x14ac:dyDescent="0.25">
      <c r="A1064" s="217"/>
      <c r="B1064" s="217" t="s">
        <v>2011</v>
      </c>
      <c r="C1064" s="214">
        <v>500</v>
      </c>
      <c r="D1064" s="407" t="s">
        <v>276</v>
      </c>
      <c r="E1064" s="215">
        <v>300</v>
      </c>
      <c r="F1064" s="408">
        <f>C1064*E1064</f>
        <v>150000</v>
      </c>
      <c r="G1064" s="369"/>
    </row>
    <row r="1065" spans="1:8" x14ac:dyDescent="0.25">
      <c r="A1065" s="217"/>
      <c r="B1065" s="217"/>
      <c r="C1065" s="214"/>
      <c r="D1065" s="407"/>
      <c r="E1065" s="215"/>
      <c r="F1065" s="408"/>
      <c r="G1065" s="369"/>
    </row>
    <row r="1066" spans="1:8" x14ac:dyDescent="0.25">
      <c r="A1066" s="217" t="s">
        <v>348</v>
      </c>
      <c r="B1066" s="217" t="s">
        <v>349</v>
      </c>
      <c r="C1066" s="214"/>
      <c r="D1066" s="249"/>
      <c r="E1066" s="231"/>
      <c r="F1066" s="239"/>
      <c r="G1066" s="369"/>
    </row>
    <row r="1067" spans="1:8" ht="24.75" x14ac:dyDescent="0.25">
      <c r="A1067" s="217" t="s">
        <v>350</v>
      </c>
      <c r="B1067" s="213" t="s">
        <v>351</v>
      </c>
      <c r="C1067" s="214"/>
      <c r="D1067" s="244"/>
      <c r="E1067" s="231"/>
      <c r="F1067" s="239"/>
      <c r="G1067" s="369"/>
    </row>
    <row r="1068" spans="1:8" x14ac:dyDescent="0.25">
      <c r="A1068" s="243"/>
      <c r="B1068" s="213" t="s">
        <v>2657</v>
      </c>
      <c r="C1068" s="214">
        <v>3</v>
      </c>
      <c r="D1068" s="244" t="s">
        <v>21</v>
      </c>
      <c r="E1068" s="259">
        <v>600000</v>
      </c>
      <c r="F1068" s="239">
        <f>C1068*E1068</f>
        <v>1800000</v>
      </c>
      <c r="G1068" s="369"/>
    </row>
    <row r="1069" spans="1:8" x14ac:dyDescent="0.25">
      <c r="A1069" s="243"/>
      <c r="B1069" s="213" t="s">
        <v>2656</v>
      </c>
      <c r="C1069" s="214">
        <v>3</v>
      </c>
      <c r="D1069" s="244" t="s">
        <v>21</v>
      </c>
      <c r="E1069" s="259">
        <v>500000</v>
      </c>
      <c r="F1069" s="239"/>
      <c r="G1069" s="369"/>
    </row>
    <row r="1070" spans="1:8" x14ac:dyDescent="0.25">
      <c r="A1070" s="243"/>
      <c r="B1070" s="1356" t="s">
        <v>2928</v>
      </c>
      <c r="C1070" s="1431">
        <f>9*3</f>
        <v>27</v>
      </c>
      <c r="D1070" s="1428" t="s">
        <v>21</v>
      </c>
      <c r="E1070" s="1654">
        <v>450000</v>
      </c>
      <c r="F1070" s="1430">
        <f>C1070*E1070</f>
        <v>12150000</v>
      </c>
      <c r="G1070" s="369"/>
    </row>
    <row r="1071" spans="1:8" x14ac:dyDescent="0.25">
      <c r="A1071" s="243"/>
      <c r="B1071" s="213"/>
      <c r="C1071" s="214"/>
      <c r="D1071" s="244"/>
      <c r="E1071" s="231"/>
      <c r="F1071" s="239"/>
      <c r="G1071" s="369"/>
    </row>
    <row r="1072" spans="1:8" x14ac:dyDescent="0.25">
      <c r="A1072" s="243"/>
      <c r="B1072" s="213"/>
      <c r="C1072" s="214"/>
      <c r="D1072" s="244"/>
      <c r="E1072" s="231"/>
      <c r="F1072" s="239"/>
      <c r="G1072" s="369"/>
    </row>
    <row r="1073" spans="1:20" x14ac:dyDescent="0.25">
      <c r="A1073" s="243"/>
      <c r="B1073" s="213"/>
      <c r="C1073" s="214"/>
      <c r="D1073" s="244"/>
      <c r="E1073" s="231"/>
      <c r="F1073" s="239"/>
      <c r="G1073" s="369"/>
    </row>
    <row r="1074" spans="1:20" x14ac:dyDescent="0.25">
      <c r="A1074" s="243"/>
      <c r="B1074" s="1769" t="s">
        <v>26</v>
      </c>
      <c r="C1074" s="1770"/>
      <c r="D1074" s="1770"/>
      <c r="E1074" s="1771"/>
      <c r="F1074" s="252">
        <f>SUM(F1057:F1073)</f>
        <v>16440000</v>
      </c>
      <c r="G1074" s="369" t="s">
        <v>2664</v>
      </c>
      <c r="J1074" s="32"/>
      <c r="K1074" s="32">
        <f>F1074</f>
        <v>16440000</v>
      </c>
      <c r="T1074" s="32"/>
    </row>
    <row r="1075" spans="1:20" x14ac:dyDescent="0.25">
      <c r="A1075" s="253"/>
      <c r="B1075" s="187"/>
      <c r="C1075" s="188"/>
      <c r="D1075" s="189"/>
      <c r="E1075" s="190"/>
      <c r="F1075" s="191"/>
      <c r="G1075" s="188"/>
    </row>
    <row r="1076" spans="1:20" x14ac:dyDescent="0.25">
      <c r="A1076" s="1762" t="s">
        <v>549</v>
      </c>
      <c r="B1076" s="1762"/>
      <c r="C1076" s="188" t="s">
        <v>27</v>
      </c>
      <c r="D1076" s="1763" t="s">
        <v>1426</v>
      </c>
      <c r="E1076" s="1763"/>
      <c r="F1076" s="1763"/>
      <c r="G1076" s="188"/>
    </row>
    <row r="1077" spans="1:20" x14ac:dyDescent="0.25">
      <c r="A1077" s="1762" t="s">
        <v>28</v>
      </c>
      <c r="B1077" s="1762"/>
      <c r="C1077" s="188"/>
      <c r="D1077" s="1764" t="s">
        <v>2835</v>
      </c>
      <c r="E1077" s="1764"/>
      <c r="F1077" s="1764"/>
      <c r="G1077" s="188"/>
      <c r="H1077" s="36"/>
    </row>
    <row r="1078" spans="1:20" x14ac:dyDescent="0.25">
      <c r="A1078" s="186"/>
      <c r="B1078" s="187"/>
      <c r="C1078" s="188"/>
      <c r="D1078" s="189"/>
      <c r="E1078" s="218"/>
      <c r="F1078" s="218"/>
      <c r="G1078" s="188"/>
    </row>
    <row r="1079" spans="1:20" x14ac:dyDescent="0.25">
      <c r="A1079" s="186"/>
      <c r="B1079" s="187"/>
      <c r="C1079" s="188"/>
      <c r="D1079" s="189"/>
      <c r="E1079" s="218"/>
      <c r="F1079" s="218"/>
      <c r="G1079" s="188"/>
    </row>
    <row r="1080" spans="1:20" x14ac:dyDescent="0.25">
      <c r="A1080" s="1762"/>
      <c r="B1080" s="1762"/>
      <c r="C1080" s="188"/>
      <c r="D1080" s="189"/>
      <c r="E1080" s="1762"/>
      <c r="F1080" s="1762"/>
      <c r="G1080" s="188"/>
    </row>
    <row r="1081" spans="1:20" x14ac:dyDescent="0.25">
      <c r="A1081" s="1762" t="s">
        <v>29</v>
      </c>
      <c r="B1081" s="1762"/>
      <c r="C1081" s="188"/>
      <c r="D1081" s="1762" t="s">
        <v>2990</v>
      </c>
      <c r="E1081" s="1762"/>
      <c r="F1081" s="1762"/>
      <c r="G1081" s="188"/>
    </row>
    <row r="1082" spans="1:20" x14ac:dyDescent="0.25">
      <c r="A1082" s="260"/>
      <c r="B1082" s="260"/>
      <c r="C1082" s="188"/>
      <c r="D1082" s="260"/>
      <c r="E1082" s="260"/>
      <c r="F1082" s="260"/>
      <c r="G1082" s="188"/>
    </row>
    <row r="1083" spans="1:20" x14ac:dyDescent="0.25">
      <c r="A1083" s="260"/>
      <c r="B1083" s="260"/>
      <c r="C1083" s="188"/>
      <c r="D1083" s="260"/>
      <c r="E1083" s="260"/>
      <c r="F1083" s="260"/>
      <c r="G1083" s="188"/>
    </row>
    <row r="1084" spans="1:20" x14ac:dyDescent="0.25">
      <c r="A1084" s="1765" t="s">
        <v>0</v>
      </c>
      <c r="B1084" s="1765"/>
      <c r="C1084" s="1765"/>
      <c r="D1084" s="1765"/>
      <c r="E1084" s="1765"/>
      <c r="F1084" s="1765"/>
      <c r="G1084" s="1765"/>
    </row>
    <row r="1085" spans="1:20" x14ac:dyDescent="0.25">
      <c r="A1085" s="1765" t="s">
        <v>1</v>
      </c>
      <c r="B1085" s="1765"/>
      <c r="C1085" s="1765"/>
      <c r="D1085" s="1765"/>
      <c r="E1085" s="1765"/>
      <c r="F1085" s="1765"/>
      <c r="G1085" s="1765"/>
    </row>
    <row r="1086" spans="1:20" x14ac:dyDescent="0.25">
      <c r="A1086" s="1765" t="s">
        <v>1769</v>
      </c>
      <c r="B1086" s="1765"/>
      <c r="C1086" s="1765"/>
      <c r="D1086" s="1765"/>
      <c r="E1086" s="1765"/>
      <c r="F1086" s="1765"/>
      <c r="G1086" s="1765"/>
    </row>
    <row r="1087" spans="1:20" x14ac:dyDescent="0.25">
      <c r="A1087" s="184"/>
      <c r="B1087" s="184"/>
      <c r="C1087" s="184"/>
      <c r="D1087" s="184"/>
      <c r="E1087" s="184"/>
      <c r="F1087" s="184"/>
      <c r="G1087" s="184"/>
    </row>
    <row r="1088" spans="1:20" x14ac:dyDescent="0.25">
      <c r="A1088" s="263" t="s">
        <v>261</v>
      </c>
      <c r="B1088" s="263" t="s">
        <v>310</v>
      </c>
      <c r="C1088" s="263"/>
      <c r="D1088" s="263"/>
      <c r="E1088" s="410"/>
      <c r="F1088" s="410"/>
    </row>
    <row r="1089" spans="1:7" ht="38.25" x14ac:dyDescent="0.25">
      <c r="A1089" s="263" t="s">
        <v>262</v>
      </c>
      <c r="B1089" s="265" t="s">
        <v>311</v>
      </c>
      <c r="C1089" s="263"/>
      <c r="D1089" s="263"/>
      <c r="E1089" s="227" t="s">
        <v>6</v>
      </c>
      <c r="F1089" s="191"/>
    </row>
    <row r="1090" spans="1:7" ht="38.25" x14ac:dyDescent="0.25">
      <c r="A1090" s="265" t="s">
        <v>263</v>
      </c>
      <c r="B1090" s="265" t="s">
        <v>2654</v>
      </c>
      <c r="C1090" s="265"/>
      <c r="D1090" s="265"/>
      <c r="E1090" s="195" t="s">
        <v>9</v>
      </c>
      <c r="F1090" s="196"/>
    </row>
    <row r="1091" spans="1:7" x14ac:dyDescent="0.25">
      <c r="A1091" s="226" t="s">
        <v>60</v>
      </c>
      <c r="B1091" s="226" t="s">
        <v>61</v>
      </c>
      <c r="C1091" s="226"/>
      <c r="D1091" s="188"/>
      <c r="E1091" s="188"/>
      <c r="F1091" s="188"/>
    </row>
    <row r="1092" spans="1:7" x14ac:dyDescent="0.25">
      <c r="A1092" s="226" t="s">
        <v>62</v>
      </c>
      <c r="B1092" s="226" t="s">
        <v>63</v>
      </c>
      <c r="C1092" s="226"/>
      <c r="D1092" s="1763"/>
      <c r="E1092" s="1763"/>
      <c r="F1092" s="188"/>
    </row>
    <row r="1093" spans="1:7" x14ac:dyDescent="0.25">
      <c r="A1093" s="187"/>
      <c r="B1093" s="187"/>
      <c r="C1093" s="187"/>
      <c r="D1093" s="187"/>
      <c r="E1093" s="187"/>
      <c r="F1093" s="187"/>
    </row>
    <row r="1094" spans="1:7" ht="24" x14ac:dyDescent="0.25">
      <c r="A1094" s="198" t="s">
        <v>265</v>
      </c>
      <c r="B1094" s="198" t="s">
        <v>11</v>
      </c>
      <c r="C1094" s="1766" t="s">
        <v>12</v>
      </c>
      <c r="D1094" s="1766"/>
      <c r="E1094" s="267" t="s">
        <v>13</v>
      </c>
      <c r="F1094" s="268" t="s">
        <v>14</v>
      </c>
      <c r="G1094" s="34" t="s">
        <v>266</v>
      </c>
    </row>
    <row r="1095" spans="1:7" x14ac:dyDescent="0.25">
      <c r="A1095" s="198">
        <v>1</v>
      </c>
      <c r="B1095" s="198">
        <v>2</v>
      </c>
      <c r="C1095" s="1767">
        <v>3</v>
      </c>
      <c r="D1095" s="1768"/>
      <c r="E1095" s="269">
        <v>4</v>
      </c>
      <c r="F1095" s="268">
        <v>5</v>
      </c>
      <c r="G1095" s="35">
        <v>6</v>
      </c>
    </row>
    <row r="1096" spans="1:7" x14ac:dyDescent="0.25">
      <c r="A1096" s="203" t="s">
        <v>313</v>
      </c>
      <c r="B1096" s="204" t="s">
        <v>287</v>
      </c>
      <c r="C1096" s="205"/>
      <c r="D1096" s="206"/>
      <c r="E1096" s="197"/>
      <c r="F1096" s="214"/>
      <c r="G1096" s="197"/>
    </row>
    <row r="1097" spans="1:7" x14ac:dyDescent="0.25">
      <c r="A1097" s="203" t="s">
        <v>315</v>
      </c>
      <c r="B1097" s="204" t="s">
        <v>86</v>
      </c>
      <c r="C1097" s="205"/>
      <c r="D1097" s="206"/>
      <c r="E1097" s="197"/>
      <c r="F1097" s="214"/>
      <c r="G1097" s="197"/>
    </row>
    <row r="1098" spans="1:7" ht="24" x14ac:dyDescent="0.25">
      <c r="A1098" s="203" t="s">
        <v>358</v>
      </c>
      <c r="B1098" s="204" t="s">
        <v>290</v>
      </c>
      <c r="C1098" s="205"/>
      <c r="D1098" s="206"/>
      <c r="E1098" s="259"/>
      <c r="F1098" s="411"/>
      <c r="G1098" s="197"/>
    </row>
    <row r="1099" spans="1:7" x14ac:dyDescent="0.25">
      <c r="A1099" s="203"/>
      <c r="B1099" s="204" t="s">
        <v>292</v>
      </c>
      <c r="C1099" s="205">
        <v>1</v>
      </c>
      <c r="D1099" s="206" t="s">
        <v>110</v>
      </c>
      <c r="E1099" s="259">
        <v>90000</v>
      </c>
      <c r="F1099" s="411">
        <f>E1099*C1099</f>
        <v>90000</v>
      </c>
      <c r="G1099" s="197"/>
    </row>
    <row r="1100" spans="1:7" x14ac:dyDescent="0.25">
      <c r="A1100" s="203"/>
      <c r="B1100" s="204"/>
      <c r="C1100" s="205"/>
      <c r="D1100" s="206"/>
      <c r="E1100" s="259"/>
      <c r="F1100" s="411"/>
      <c r="G1100" s="197"/>
    </row>
    <row r="1101" spans="1:7" ht="36" x14ac:dyDescent="0.25">
      <c r="A1101" s="203" t="s">
        <v>316</v>
      </c>
      <c r="B1101" s="204" t="s">
        <v>293</v>
      </c>
      <c r="C1101" s="205"/>
      <c r="D1101" s="206"/>
      <c r="E1101" s="259"/>
      <c r="F1101" s="411"/>
      <c r="G1101" s="197"/>
    </row>
    <row r="1102" spans="1:7" x14ac:dyDescent="0.25">
      <c r="A1102" s="203"/>
      <c r="B1102" s="204" t="s">
        <v>437</v>
      </c>
      <c r="C1102" s="205">
        <v>30</v>
      </c>
      <c r="D1102" s="206" t="s">
        <v>279</v>
      </c>
      <c r="E1102" s="259">
        <v>15000</v>
      </c>
      <c r="F1102" s="411">
        <f>E1102*C1102</f>
        <v>450000</v>
      </c>
      <c r="G1102" s="197"/>
    </row>
    <row r="1103" spans="1:7" x14ac:dyDescent="0.25">
      <c r="A1103" s="203"/>
      <c r="B1103" s="204"/>
      <c r="C1103" s="205"/>
      <c r="D1103" s="206"/>
      <c r="E1103" s="259"/>
      <c r="F1103" s="411"/>
      <c r="G1103" s="197"/>
    </row>
    <row r="1104" spans="1:7" x14ac:dyDescent="0.25">
      <c r="A1104" s="203" t="s">
        <v>438</v>
      </c>
      <c r="B1104" s="204" t="s">
        <v>295</v>
      </c>
      <c r="C1104" s="205"/>
      <c r="D1104" s="206"/>
      <c r="E1104" s="259"/>
      <c r="F1104" s="411"/>
      <c r="G1104" s="197"/>
    </row>
    <row r="1105" spans="1:15" x14ac:dyDescent="0.25">
      <c r="A1105" s="203"/>
      <c r="B1105" s="204" t="s">
        <v>371</v>
      </c>
      <c r="C1105" s="205">
        <v>1</v>
      </c>
      <c r="D1105" s="206" t="s">
        <v>297</v>
      </c>
      <c r="E1105" s="259">
        <v>50000</v>
      </c>
      <c r="F1105" s="411">
        <f>E1105*C1105</f>
        <v>50000</v>
      </c>
      <c r="G1105" s="197"/>
    </row>
    <row r="1106" spans="1:15" x14ac:dyDescent="0.25">
      <c r="A1106" s="185"/>
      <c r="B1106" s="204" t="s">
        <v>299</v>
      </c>
      <c r="C1106" s="205">
        <v>1</v>
      </c>
      <c r="D1106" s="206" t="s">
        <v>300</v>
      </c>
      <c r="E1106" s="259">
        <v>10000</v>
      </c>
      <c r="F1106" s="411">
        <f>E1106*C1106</f>
        <v>10000</v>
      </c>
      <c r="G1106" s="197"/>
    </row>
    <row r="1107" spans="1:15" x14ac:dyDescent="0.25">
      <c r="A1107" s="185"/>
      <c r="B1107" s="204"/>
      <c r="C1107" s="205"/>
      <c r="D1107" s="206"/>
      <c r="E1107" s="259"/>
      <c r="F1107" s="411"/>
      <c r="G1107" s="197"/>
    </row>
    <row r="1108" spans="1:15" x14ac:dyDescent="0.25">
      <c r="A1108" s="203" t="s">
        <v>323</v>
      </c>
      <c r="B1108" s="204" t="s">
        <v>374</v>
      </c>
      <c r="C1108" s="205"/>
      <c r="D1108" s="206"/>
      <c r="E1108" s="259"/>
      <c r="F1108" s="411"/>
      <c r="G1108" s="197"/>
    </row>
    <row r="1109" spans="1:15" ht="24" x14ac:dyDescent="0.25">
      <c r="A1109" s="203" t="s">
        <v>324</v>
      </c>
      <c r="B1109" s="412" t="s">
        <v>439</v>
      </c>
      <c r="C1109" s="205"/>
      <c r="D1109" s="206"/>
      <c r="E1109" s="259"/>
      <c r="F1109" s="411"/>
      <c r="G1109" s="197"/>
    </row>
    <row r="1110" spans="1:15" x14ac:dyDescent="0.25">
      <c r="A1110" s="203"/>
      <c r="B1110" s="412" t="s">
        <v>440</v>
      </c>
      <c r="C1110" s="205">
        <v>1</v>
      </c>
      <c r="D1110" s="206" t="s">
        <v>131</v>
      </c>
      <c r="E1110" s="259">
        <v>300000</v>
      </c>
      <c r="F1110" s="411">
        <f>E1110*C1110</f>
        <v>300000</v>
      </c>
      <c r="G1110" s="197"/>
    </row>
    <row r="1111" spans="1:15" x14ac:dyDescent="0.25">
      <c r="A1111" s="217"/>
      <c r="B1111" s="413"/>
      <c r="C1111" s="414"/>
      <c r="D1111" s="415"/>
      <c r="E1111" s="416"/>
      <c r="F1111" s="417"/>
      <c r="G1111" s="369"/>
    </row>
    <row r="1112" spans="1:15" ht="24.75" x14ac:dyDescent="0.25">
      <c r="A1112" s="217"/>
      <c r="B1112" s="1833" t="s">
        <v>26</v>
      </c>
      <c r="C1112" s="1834"/>
      <c r="D1112" s="1834"/>
      <c r="E1112" s="1835"/>
      <c r="F1112" s="408">
        <f>SUM(F1099:F1110)</f>
        <v>900000</v>
      </c>
      <c r="G1112" s="369" t="s">
        <v>2567</v>
      </c>
      <c r="J1112" s="32"/>
      <c r="K1112" s="32"/>
      <c r="O1112" s="32">
        <f>F1112</f>
        <v>900000</v>
      </c>
    </row>
    <row r="1114" spans="1:15" x14ac:dyDescent="0.25">
      <c r="A1114" s="1762" t="s">
        <v>549</v>
      </c>
      <c r="B1114" s="1762"/>
      <c r="C1114" s="188" t="s">
        <v>27</v>
      </c>
      <c r="D1114" s="1763" t="s">
        <v>1426</v>
      </c>
      <c r="E1114" s="1763"/>
      <c r="F1114" s="1763"/>
      <c r="G1114" s="188"/>
    </row>
    <row r="1115" spans="1:15" x14ac:dyDescent="0.25">
      <c r="A1115" s="1762" t="s">
        <v>28</v>
      </c>
      <c r="B1115" s="1762"/>
      <c r="C1115" s="188"/>
      <c r="D1115" s="1764" t="s">
        <v>2832</v>
      </c>
      <c r="E1115" s="1764"/>
      <c r="F1115" s="1764"/>
      <c r="G1115" s="188"/>
      <c r="H1115" s="36"/>
    </row>
    <row r="1116" spans="1:15" x14ac:dyDescent="0.25">
      <c r="A1116" s="186"/>
      <c r="B1116" s="187"/>
      <c r="C1116" s="188"/>
      <c r="D1116" s="189"/>
      <c r="E1116" s="218"/>
      <c r="F1116" s="218"/>
      <c r="G1116" s="188"/>
    </row>
    <row r="1117" spans="1:15" x14ac:dyDescent="0.25">
      <c r="A1117" s="186"/>
      <c r="B1117" s="187"/>
      <c r="C1117" s="188"/>
      <c r="D1117" s="189"/>
      <c r="E1117" s="218"/>
      <c r="F1117" s="218"/>
      <c r="G1117" s="188"/>
    </row>
    <row r="1118" spans="1:15" x14ac:dyDescent="0.25">
      <c r="A1118" s="1762"/>
      <c r="B1118" s="1762"/>
      <c r="C1118" s="188"/>
      <c r="D1118" s="189"/>
      <c r="E1118" s="1762"/>
      <c r="F1118" s="1762"/>
      <c r="G1118" s="188"/>
    </row>
    <row r="1119" spans="1:15" x14ac:dyDescent="0.25">
      <c r="A1119" s="1762" t="s">
        <v>29</v>
      </c>
      <c r="B1119" s="1762"/>
      <c r="C1119" s="188"/>
      <c r="D1119" s="1762" t="s">
        <v>2991</v>
      </c>
      <c r="E1119" s="1762"/>
      <c r="F1119" s="1762"/>
      <c r="G1119" s="188"/>
    </row>
    <row r="1121" spans="1:7" x14ac:dyDescent="0.25">
      <c r="A1121" s="1765" t="s">
        <v>0</v>
      </c>
      <c r="B1121" s="1765"/>
      <c r="C1121" s="1765"/>
      <c r="D1121" s="1765"/>
      <c r="E1121" s="1765"/>
      <c r="F1121" s="1765"/>
      <c r="G1121" s="1765"/>
    </row>
    <row r="1122" spans="1:7" x14ac:dyDescent="0.25">
      <c r="A1122" s="1765" t="s">
        <v>1</v>
      </c>
      <c r="B1122" s="1765"/>
      <c r="C1122" s="1765"/>
      <c r="D1122" s="1765"/>
      <c r="E1122" s="1765"/>
      <c r="F1122" s="1765"/>
      <c r="G1122" s="1765"/>
    </row>
    <row r="1123" spans="1:7" x14ac:dyDescent="0.25">
      <c r="A1123" s="1765" t="s">
        <v>1769</v>
      </c>
      <c r="B1123" s="1765"/>
      <c r="C1123" s="1765"/>
      <c r="D1123" s="1765"/>
      <c r="E1123" s="1765"/>
      <c r="F1123" s="1765"/>
      <c r="G1123" s="1765"/>
    </row>
    <row r="1124" spans="1:7" x14ac:dyDescent="0.25">
      <c r="A1124" s="184"/>
      <c r="B1124" s="184"/>
      <c r="C1124" s="184"/>
      <c r="D1124" s="184"/>
      <c r="E1124" s="184"/>
      <c r="F1124" s="184"/>
      <c r="G1124" s="184"/>
    </row>
    <row r="1125" spans="1:7" x14ac:dyDescent="0.25">
      <c r="A1125" s="263" t="s">
        <v>261</v>
      </c>
      <c r="B1125" s="263" t="s">
        <v>310</v>
      </c>
      <c r="C1125" s="263"/>
      <c r="D1125" s="263"/>
      <c r="E1125" s="410"/>
      <c r="F1125" s="410"/>
    </row>
    <row r="1126" spans="1:7" ht="38.25" x14ac:dyDescent="0.25">
      <c r="A1126" s="263" t="s">
        <v>262</v>
      </c>
      <c r="B1126" s="265" t="s">
        <v>311</v>
      </c>
      <c r="C1126" s="263"/>
      <c r="D1126" s="263"/>
      <c r="E1126" s="227" t="s">
        <v>6</v>
      </c>
      <c r="F1126" s="191"/>
    </row>
    <row r="1127" spans="1:7" ht="38.25" x14ac:dyDescent="0.25">
      <c r="A1127" s="265" t="s">
        <v>263</v>
      </c>
      <c r="B1127" s="265" t="s">
        <v>312</v>
      </c>
      <c r="C1127" s="265"/>
      <c r="D1127" s="265"/>
      <c r="E1127" s="195" t="s">
        <v>9</v>
      </c>
      <c r="F1127" s="196"/>
    </row>
    <row r="1128" spans="1:7" x14ac:dyDescent="0.25">
      <c r="A1128" s="226" t="s">
        <v>60</v>
      </c>
      <c r="B1128" s="226" t="s">
        <v>61</v>
      </c>
      <c r="C1128" s="226"/>
      <c r="D1128" s="188"/>
      <c r="E1128" s="188"/>
      <c r="F1128" s="188"/>
    </row>
    <row r="1129" spans="1:7" x14ac:dyDescent="0.25">
      <c r="A1129" s="226" t="s">
        <v>62</v>
      </c>
      <c r="B1129" s="226" t="s">
        <v>63</v>
      </c>
      <c r="C1129" s="226"/>
      <c r="D1129" s="1763"/>
      <c r="E1129" s="1763"/>
      <c r="F1129" s="188"/>
    </row>
    <row r="1130" spans="1:7" x14ac:dyDescent="0.25">
      <c r="A1130" s="187"/>
      <c r="B1130" s="187"/>
      <c r="C1130" s="187"/>
      <c r="D1130" s="187"/>
      <c r="E1130" s="187"/>
      <c r="F1130" s="187"/>
    </row>
    <row r="1131" spans="1:7" ht="24" x14ac:dyDescent="0.25">
      <c r="A1131" s="198" t="s">
        <v>265</v>
      </c>
      <c r="B1131" s="198" t="s">
        <v>11</v>
      </c>
      <c r="C1131" s="1766" t="s">
        <v>12</v>
      </c>
      <c r="D1131" s="1766"/>
      <c r="E1131" s="267" t="s">
        <v>13</v>
      </c>
      <c r="F1131" s="268" t="s">
        <v>14</v>
      </c>
      <c r="G1131" s="34" t="s">
        <v>266</v>
      </c>
    </row>
    <row r="1132" spans="1:7" x14ac:dyDescent="0.25">
      <c r="A1132" s="198">
        <v>1</v>
      </c>
      <c r="B1132" s="198">
        <v>2</v>
      </c>
      <c r="C1132" s="1767">
        <v>3</v>
      </c>
      <c r="D1132" s="1768"/>
      <c r="E1132" s="269">
        <v>4</v>
      </c>
      <c r="F1132" s="268">
        <v>5</v>
      </c>
      <c r="G1132" s="35">
        <v>6</v>
      </c>
    </row>
    <row r="1133" spans="1:7" x14ac:dyDescent="0.25">
      <c r="A1133" s="212" t="s">
        <v>313</v>
      </c>
      <c r="B1133" s="217" t="s">
        <v>314</v>
      </c>
      <c r="C1133" s="214"/>
      <c r="D1133" s="244"/>
      <c r="E1133" s="217"/>
      <c r="F1133" s="217"/>
      <c r="G1133" s="222"/>
    </row>
    <row r="1134" spans="1:7" x14ac:dyDescent="0.25">
      <c r="A1134" s="212" t="s">
        <v>315</v>
      </c>
      <c r="B1134" s="217" t="s">
        <v>86</v>
      </c>
      <c r="C1134" s="214"/>
      <c r="D1134" s="244"/>
      <c r="E1134" s="217"/>
      <c r="F1134" s="217"/>
      <c r="G1134" s="222"/>
    </row>
    <row r="1135" spans="1:7" ht="24" x14ac:dyDescent="0.25">
      <c r="A1135" s="203" t="s">
        <v>358</v>
      </c>
      <c r="B1135" s="204" t="s">
        <v>290</v>
      </c>
      <c r="C1135" s="205"/>
      <c r="D1135" s="283"/>
      <c r="E1135" s="259"/>
      <c r="F1135" s="239"/>
      <c r="G1135" s="207"/>
    </row>
    <row r="1136" spans="1:7" x14ac:dyDescent="0.25">
      <c r="A1136" s="203"/>
      <c r="B1136" s="204" t="s">
        <v>291</v>
      </c>
      <c r="C1136" s="205">
        <v>2000</v>
      </c>
      <c r="D1136" s="283" t="s">
        <v>276</v>
      </c>
      <c r="E1136" s="259">
        <v>400</v>
      </c>
      <c r="F1136" s="239">
        <f>E1136*C1136</f>
        <v>800000</v>
      </c>
      <c r="G1136" s="217"/>
    </row>
    <row r="1137" spans="1:20" x14ac:dyDescent="0.25">
      <c r="A1137" s="212"/>
      <c r="B1137" s="258"/>
      <c r="C1137" s="214"/>
      <c r="D1137" s="244"/>
      <c r="E1137" s="217"/>
      <c r="F1137" s="217"/>
      <c r="G1137" s="222"/>
    </row>
    <row r="1138" spans="1:20" x14ac:dyDescent="0.25">
      <c r="A1138" s="212" t="s">
        <v>316</v>
      </c>
      <c r="B1138" s="418" t="s">
        <v>317</v>
      </c>
      <c r="C1138" s="419"/>
      <c r="D1138" s="420"/>
      <c r="E1138" s="201"/>
      <c r="F1138" s="202"/>
      <c r="G1138" s="369"/>
    </row>
    <row r="1139" spans="1:20" ht="24" x14ac:dyDescent="0.25">
      <c r="A1139" s="217"/>
      <c r="B1139" s="418" t="s">
        <v>318</v>
      </c>
      <c r="C1139" s="419">
        <f>64*2</f>
        <v>128</v>
      </c>
      <c r="D1139" s="420" t="s">
        <v>279</v>
      </c>
      <c r="E1139" s="421">
        <v>15000</v>
      </c>
      <c r="F1139" s="422">
        <f>E1139*C1139</f>
        <v>1920000</v>
      </c>
      <c r="G1139" s="369"/>
    </row>
    <row r="1140" spans="1:20" x14ac:dyDescent="0.25">
      <c r="A1140" s="217"/>
      <c r="B1140" s="213" t="s">
        <v>1852</v>
      </c>
      <c r="C1140" s="214">
        <v>400</v>
      </c>
      <c r="D1140" s="244" t="s">
        <v>279</v>
      </c>
      <c r="E1140" s="215">
        <v>15000</v>
      </c>
      <c r="F1140" s="422">
        <f>E1140*C1140</f>
        <v>6000000</v>
      </c>
      <c r="G1140" s="369"/>
    </row>
    <row r="1141" spans="1:20" x14ac:dyDescent="0.25">
      <c r="A1141" s="217"/>
      <c r="B1141" s="423" t="s">
        <v>319</v>
      </c>
      <c r="C1141" s="372">
        <f>45*2</f>
        <v>90</v>
      </c>
      <c r="D1141" s="373" t="s">
        <v>279</v>
      </c>
      <c r="E1141" s="424">
        <v>15000</v>
      </c>
      <c r="F1141" s="422">
        <f>E1141*C1141</f>
        <v>1350000</v>
      </c>
      <c r="G1141" s="369"/>
    </row>
    <row r="1142" spans="1:20" x14ac:dyDescent="0.25">
      <c r="A1142" s="217"/>
      <c r="B1142" s="423"/>
      <c r="C1142" s="372"/>
      <c r="D1142" s="373"/>
      <c r="E1142" s="424"/>
      <c r="F1142" s="422"/>
      <c r="G1142" s="369"/>
    </row>
    <row r="1143" spans="1:20" x14ac:dyDescent="0.25">
      <c r="A1143" s="217"/>
      <c r="B1143" s="423"/>
      <c r="C1143" s="372"/>
      <c r="D1143" s="373"/>
      <c r="E1143" s="424"/>
      <c r="F1143" s="424"/>
      <c r="G1143" s="369"/>
    </row>
    <row r="1144" spans="1:20" x14ac:dyDescent="0.25">
      <c r="A1144" s="391" t="s">
        <v>323</v>
      </c>
      <c r="B1144" s="400" t="s">
        <v>304</v>
      </c>
      <c r="C1144" s="419"/>
      <c r="D1144" s="420"/>
      <c r="E1144" s="201"/>
      <c r="F1144" s="202"/>
      <c r="G1144" s="369"/>
    </row>
    <row r="1145" spans="1:20" x14ac:dyDescent="0.25">
      <c r="A1145" s="391" t="s">
        <v>324</v>
      </c>
      <c r="B1145" s="418" t="s">
        <v>325</v>
      </c>
      <c r="C1145" s="419"/>
      <c r="D1145" s="420"/>
      <c r="E1145" s="201"/>
      <c r="F1145" s="202"/>
      <c r="G1145" s="369"/>
    </row>
    <row r="1146" spans="1:20" ht="24.75" x14ac:dyDescent="0.25">
      <c r="A1146" s="217"/>
      <c r="B1146" s="234" t="s">
        <v>326</v>
      </c>
      <c r="C1146" s="214">
        <f>17*8*2</f>
        <v>272</v>
      </c>
      <c r="D1146" s="244" t="s">
        <v>327</v>
      </c>
      <c r="E1146" s="215">
        <v>100000</v>
      </c>
      <c r="F1146" s="215">
        <f>C1146*E1146</f>
        <v>27200000</v>
      </c>
      <c r="G1146" s="369"/>
    </row>
    <row r="1147" spans="1:20" x14ac:dyDescent="0.25">
      <c r="A1147" s="217"/>
      <c r="B1147" s="425"/>
      <c r="C1147" s="214"/>
      <c r="D1147" s="244"/>
      <c r="E1147" s="426"/>
      <c r="F1147" s="426"/>
      <c r="G1147" s="369"/>
    </row>
    <row r="1148" spans="1:20" x14ac:dyDescent="0.25">
      <c r="A1148" s="217"/>
      <c r="B1148" s="413"/>
      <c r="C1148" s="414"/>
      <c r="D1148" s="415"/>
      <c r="E1148" s="416"/>
      <c r="F1148" s="417"/>
      <c r="G1148" s="369"/>
    </row>
    <row r="1149" spans="1:20" ht="24.75" x14ac:dyDescent="0.25">
      <c r="A1149" s="217"/>
      <c r="B1149" s="1841" t="s">
        <v>26</v>
      </c>
      <c r="C1149" s="1841"/>
      <c r="D1149" s="1841"/>
      <c r="E1149" s="1841"/>
      <c r="F1149" s="408">
        <f>SUM(F1133:F1147)</f>
        <v>37270000</v>
      </c>
      <c r="G1149" s="369" t="s">
        <v>2571</v>
      </c>
      <c r="J1149" s="32"/>
      <c r="T1149" s="32">
        <f>F1149</f>
        <v>37270000</v>
      </c>
    </row>
    <row r="1151" spans="1:20" x14ac:dyDescent="0.25">
      <c r="A1151" s="1762" t="s">
        <v>549</v>
      </c>
      <c r="B1151" s="1762"/>
      <c r="C1151" s="188" t="s">
        <v>27</v>
      </c>
      <c r="D1151" s="1763" t="s">
        <v>1426</v>
      </c>
      <c r="E1151" s="1763"/>
      <c r="F1151" s="1763"/>
      <c r="G1151" s="188"/>
    </row>
    <row r="1152" spans="1:20" x14ac:dyDescent="0.25">
      <c r="A1152" s="1762" t="s">
        <v>28</v>
      </c>
      <c r="B1152" s="1762"/>
      <c r="C1152" s="188"/>
      <c r="D1152" s="1764" t="s">
        <v>2835</v>
      </c>
      <c r="E1152" s="1764"/>
      <c r="F1152" s="1764"/>
      <c r="G1152" s="188"/>
      <c r="H1152" s="36"/>
    </row>
    <row r="1153" spans="1:7" x14ac:dyDescent="0.25">
      <c r="A1153" s="186"/>
      <c r="B1153" s="187"/>
      <c r="C1153" s="188"/>
      <c r="D1153" s="189"/>
      <c r="E1153" s="218"/>
      <c r="F1153" s="218"/>
      <c r="G1153" s="188"/>
    </row>
    <row r="1154" spans="1:7" x14ac:dyDescent="0.25">
      <c r="A1154" s="186"/>
      <c r="B1154" s="187"/>
      <c r="C1154" s="188"/>
      <c r="D1154" s="189"/>
      <c r="E1154" s="218"/>
      <c r="F1154" s="218"/>
      <c r="G1154" s="188"/>
    </row>
    <row r="1155" spans="1:7" x14ac:dyDescent="0.25">
      <c r="A1155" s="1762"/>
      <c r="B1155" s="1762"/>
      <c r="C1155" s="188"/>
      <c r="D1155" s="189"/>
      <c r="E1155" s="1762"/>
      <c r="F1155" s="1762"/>
      <c r="G1155" s="188"/>
    </row>
    <row r="1156" spans="1:7" x14ac:dyDescent="0.25">
      <c r="A1156" s="1762" t="s">
        <v>29</v>
      </c>
      <c r="B1156" s="1762"/>
      <c r="C1156" s="188"/>
      <c r="D1156" s="1762" t="s">
        <v>2990</v>
      </c>
      <c r="E1156" s="1762"/>
      <c r="F1156" s="1762"/>
      <c r="G1156" s="188"/>
    </row>
    <row r="1159" spans="1:7" x14ac:dyDescent="0.25">
      <c r="A1159" s="1765" t="s">
        <v>0</v>
      </c>
      <c r="B1159" s="1765"/>
      <c r="C1159" s="1765"/>
      <c r="D1159" s="1765"/>
      <c r="E1159" s="1765"/>
      <c r="F1159" s="1765"/>
      <c r="G1159" s="1765"/>
    </row>
    <row r="1160" spans="1:7" x14ac:dyDescent="0.25">
      <c r="A1160" s="1765" t="s">
        <v>1</v>
      </c>
      <c r="B1160" s="1765"/>
      <c r="C1160" s="1765"/>
      <c r="D1160" s="1765"/>
      <c r="E1160" s="1765"/>
      <c r="F1160" s="1765"/>
      <c r="G1160" s="1765"/>
    </row>
    <row r="1161" spans="1:7" x14ac:dyDescent="0.25">
      <c r="A1161" s="1765" t="s">
        <v>1769</v>
      </c>
      <c r="B1161" s="1765"/>
      <c r="C1161" s="1765"/>
      <c r="D1161" s="1765"/>
      <c r="E1161" s="1765"/>
      <c r="F1161" s="1765"/>
      <c r="G1161" s="1765"/>
    </row>
    <row r="1162" spans="1:7" x14ac:dyDescent="0.25">
      <c r="A1162" s="184"/>
      <c r="B1162" s="184"/>
      <c r="C1162" s="184"/>
      <c r="D1162" s="184"/>
      <c r="E1162" s="184"/>
      <c r="F1162" s="184"/>
      <c r="G1162" s="185"/>
    </row>
    <row r="1163" spans="1:7" x14ac:dyDescent="0.25">
      <c r="A1163" s="253" t="s">
        <v>359</v>
      </c>
      <c r="B1163" s="187" t="s">
        <v>57</v>
      </c>
      <c r="C1163" s="188"/>
      <c r="D1163" s="189"/>
      <c r="E1163" s="190"/>
      <c r="F1163" s="191"/>
      <c r="G1163" s="188"/>
    </row>
    <row r="1164" spans="1:7" ht="24" x14ac:dyDescent="0.25">
      <c r="A1164" s="220" t="s">
        <v>360</v>
      </c>
      <c r="B1164" s="254" t="s">
        <v>361</v>
      </c>
      <c r="C1164" s="188"/>
      <c r="D1164" s="189"/>
      <c r="E1164" s="227" t="s">
        <v>6</v>
      </c>
      <c r="F1164" s="191"/>
      <c r="G1164" s="188"/>
    </row>
    <row r="1165" spans="1:7" ht="24" x14ac:dyDescent="0.25">
      <c r="A1165" s="220" t="s">
        <v>362</v>
      </c>
      <c r="B1165" s="254" t="s">
        <v>363</v>
      </c>
      <c r="C1165" s="188"/>
      <c r="D1165" s="189"/>
      <c r="E1165" s="195" t="s">
        <v>9</v>
      </c>
      <c r="F1165" s="196"/>
      <c r="G1165" s="188"/>
    </row>
    <row r="1166" spans="1:7" x14ac:dyDescent="0.25">
      <c r="A1166" s="221" t="s">
        <v>37</v>
      </c>
      <c r="B1166" s="187" t="s">
        <v>61</v>
      </c>
      <c r="C1166" s="188"/>
      <c r="D1166" s="189"/>
      <c r="E1166" s="190"/>
      <c r="F1166" s="191"/>
      <c r="G1166" s="188"/>
    </row>
    <row r="1167" spans="1:7" x14ac:dyDescent="0.25">
      <c r="A1167" s="192" t="s">
        <v>10</v>
      </c>
      <c r="B1167" s="187"/>
      <c r="C1167" s="188"/>
      <c r="D1167" s="189"/>
      <c r="E1167" s="190"/>
      <c r="F1167" s="191"/>
      <c r="G1167" s="188"/>
    </row>
    <row r="1168" spans="1:7" x14ac:dyDescent="0.25">
      <c r="A1168" s="192"/>
      <c r="B1168" s="187"/>
      <c r="C1168" s="188"/>
      <c r="D1168" s="189"/>
      <c r="E1168" s="190"/>
      <c r="F1168" s="191"/>
      <c r="G1168" s="188"/>
    </row>
    <row r="1169" spans="1:7" ht="24" x14ac:dyDescent="0.25">
      <c r="A1169" s="198" t="s">
        <v>265</v>
      </c>
      <c r="B1169" s="198" t="s">
        <v>11</v>
      </c>
      <c r="C1169" s="1766" t="s">
        <v>12</v>
      </c>
      <c r="D1169" s="1766"/>
      <c r="E1169" s="267" t="s">
        <v>13</v>
      </c>
      <c r="F1169" s="268" t="s">
        <v>14</v>
      </c>
      <c r="G1169" s="200" t="s">
        <v>364</v>
      </c>
    </row>
    <row r="1170" spans="1:7" x14ac:dyDescent="0.25">
      <c r="A1170" s="197">
        <v>1</v>
      </c>
      <c r="B1170" s="197">
        <v>2</v>
      </c>
      <c r="C1170" s="1773">
        <v>3</v>
      </c>
      <c r="D1170" s="1774"/>
      <c r="E1170" s="2">
        <v>4</v>
      </c>
      <c r="F1170" s="205">
        <v>5</v>
      </c>
      <c r="G1170" s="202">
        <v>6</v>
      </c>
    </row>
    <row r="1171" spans="1:7" x14ac:dyDescent="0.25">
      <c r="A1171" s="203" t="s">
        <v>365</v>
      </c>
      <c r="B1171" s="204" t="s">
        <v>287</v>
      </c>
      <c r="C1171" s="205"/>
      <c r="D1171" s="206"/>
      <c r="E1171" s="197"/>
      <c r="F1171" s="214"/>
      <c r="G1171" s="197"/>
    </row>
    <row r="1172" spans="1:7" x14ac:dyDescent="0.25">
      <c r="A1172" s="203" t="s">
        <v>366</v>
      </c>
      <c r="B1172" s="204" t="s">
        <v>86</v>
      </c>
      <c r="C1172" s="205"/>
      <c r="D1172" s="206"/>
      <c r="E1172" s="197"/>
      <c r="F1172" s="214"/>
      <c r="G1172" s="197"/>
    </row>
    <row r="1173" spans="1:7" ht="24" x14ac:dyDescent="0.25">
      <c r="A1173" s="203" t="s">
        <v>367</v>
      </c>
      <c r="B1173" s="204" t="s">
        <v>290</v>
      </c>
      <c r="C1173" s="205"/>
      <c r="D1173" s="206"/>
      <c r="E1173" s="259"/>
      <c r="F1173" s="411"/>
      <c r="G1173" s="197"/>
    </row>
    <row r="1174" spans="1:7" x14ac:dyDescent="0.25">
      <c r="A1174" s="203"/>
      <c r="B1174" s="204" t="s">
        <v>292</v>
      </c>
      <c r="C1174" s="205">
        <v>2</v>
      </c>
      <c r="D1174" s="206" t="s">
        <v>110</v>
      </c>
      <c r="E1174" s="259">
        <v>90000</v>
      </c>
      <c r="F1174" s="411">
        <f>E1174*C1174</f>
        <v>180000</v>
      </c>
      <c r="G1174" s="197"/>
    </row>
    <row r="1175" spans="1:7" x14ac:dyDescent="0.25">
      <c r="A1175" s="203"/>
      <c r="B1175" s="204"/>
      <c r="C1175" s="205"/>
      <c r="D1175" s="206"/>
      <c r="E1175" s="259"/>
      <c r="F1175" s="411"/>
      <c r="G1175" s="197"/>
    </row>
    <row r="1176" spans="1:7" ht="36" x14ac:dyDescent="0.25">
      <c r="A1176" s="203" t="s">
        <v>368</v>
      </c>
      <c r="B1176" s="204" t="s">
        <v>293</v>
      </c>
      <c r="C1176" s="205"/>
      <c r="D1176" s="206"/>
      <c r="E1176" s="259"/>
      <c r="F1176" s="411"/>
      <c r="G1176" s="197"/>
    </row>
    <row r="1177" spans="1:7" x14ac:dyDescent="0.25">
      <c r="A1177" s="203"/>
      <c r="B1177" s="204" t="s">
        <v>369</v>
      </c>
      <c r="C1177" s="205">
        <v>200</v>
      </c>
      <c r="D1177" s="206" t="s">
        <v>279</v>
      </c>
      <c r="E1177" s="259">
        <v>75000</v>
      </c>
      <c r="F1177" s="411">
        <f>E1177*C1177</f>
        <v>15000000</v>
      </c>
      <c r="G1177" s="197"/>
    </row>
    <row r="1178" spans="1:7" x14ac:dyDescent="0.25">
      <c r="A1178" s="203"/>
      <c r="B1178" s="204"/>
      <c r="C1178" s="205"/>
      <c r="D1178" s="206"/>
      <c r="E1178" s="259"/>
      <c r="F1178" s="411"/>
      <c r="G1178" s="197"/>
    </row>
    <row r="1179" spans="1:7" x14ac:dyDescent="0.25">
      <c r="A1179" s="203" t="s">
        <v>370</v>
      </c>
      <c r="B1179" s="204" t="s">
        <v>295</v>
      </c>
      <c r="C1179" s="205"/>
      <c r="D1179" s="206"/>
      <c r="E1179" s="259"/>
      <c r="F1179" s="411"/>
      <c r="G1179" s="197"/>
    </row>
    <row r="1180" spans="1:7" x14ac:dyDescent="0.25">
      <c r="A1180" s="203"/>
      <c r="B1180" s="204" t="s">
        <v>371</v>
      </c>
      <c r="C1180" s="205">
        <v>2</v>
      </c>
      <c r="D1180" s="206" t="s">
        <v>297</v>
      </c>
      <c r="E1180" s="259">
        <v>50000</v>
      </c>
      <c r="F1180" s="411">
        <f>E1180*C1180</f>
        <v>100000</v>
      </c>
      <c r="G1180" s="197"/>
    </row>
    <row r="1181" spans="1:7" x14ac:dyDescent="0.25">
      <c r="A1181" s="203"/>
      <c r="B1181" s="204" t="s">
        <v>372</v>
      </c>
      <c r="C1181" s="205">
        <v>10</v>
      </c>
      <c r="D1181" s="206" t="s">
        <v>165</v>
      </c>
      <c r="E1181" s="259">
        <v>20000</v>
      </c>
      <c r="F1181" s="411">
        <f>E1181*C1181</f>
        <v>200000</v>
      </c>
      <c r="G1181" s="197"/>
    </row>
    <row r="1182" spans="1:7" x14ac:dyDescent="0.25">
      <c r="A1182" s="185"/>
      <c r="B1182" s="204" t="s">
        <v>299</v>
      </c>
      <c r="C1182" s="205">
        <v>2</v>
      </c>
      <c r="D1182" s="206" t="s">
        <v>300</v>
      </c>
      <c r="E1182" s="259">
        <v>10000</v>
      </c>
      <c r="F1182" s="411">
        <f>E1182*C1182</f>
        <v>20000</v>
      </c>
      <c r="G1182" s="197"/>
    </row>
    <row r="1183" spans="1:7" x14ac:dyDescent="0.25">
      <c r="A1183" s="185"/>
      <c r="B1183" s="204"/>
      <c r="C1183" s="205"/>
      <c r="D1183" s="206"/>
      <c r="E1183" s="259"/>
      <c r="F1183" s="411"/>
      <c r="G1183" s="197"/>
    </row>
    <row r="1184" spans="1:7" x14ac:dyDescent="0.25">
      <c r="A1184" s="203" t="s">
        <v>373</v>
      </c>
      <c r="B1184" s="204" t="s">
        <v>374</v>
      </c>
      <c r="C1184" s="205"/>
      <c r="D1184" s="206"/>
      <c r="E1184" s="259"/>
      <c r="F1184" s="411"/>
      <c r="G1184" s="197"/>
    </row>
    <row r="1185" spans="1:11" x14ac:dyDescent="0.25">
      <c r="A1185" s="203" t="s">
        <v>375</v>
      </c>
      <c r="B1185" s="204" t="s">
        <v>354</v>
      </c>
      <c r="C1185" s="205"/>
      <c r="D1185" s="206"/>
      <c r="E1185" s="259"/>
      <c r="F1185" s="411"/>
      <c r="G1185" s="197"/>
    </row>
    <row r="1186" spans="1:11" x14ac:dyDescent="0.25">
      <c r="A1186" s="203"/>
      <c r="B1186" s="204" t="s">
        <v>376</v>
      </c>
      <c r="C1186" s="205">
        <v>2</v>
      </c>
      <c r="D1186" s="206" t="s">
        <v>131</v>
      </c>
      <c r="E1186" s="259">
        <v>100000</v>
      </c>
      <c r="F1186" s="411">
        <f>E1186*C1186</f>
        <v>200000</v>
      </c>
      <c r="G1186" s="197"/>
    </row>
    <row r="1187" spans="1:11" ht="24" x14ac:dyDescent="0.25">
      <c r="A1187" s="203" t="s">
        <v>377</v>
      </c>
      <c r="B1187" s="204" t="s">
        <v>378</v>
      </c>
      <c r="C1187" s="205"/>
      <c r="D1187" s="206"/>
      <c r="E1187" s="259"/>
      <c r="F1187" s="411"/>
      <c r="G1187" s="197"/>
    </row>
    <row r="1188" spans="1:11" x14ac:dyDescent="0.25">
      <c r="A1188" s="203" t="s">
        <v>379</v>
      </c>
      <c r="B1188" s="204" t="s">
        <v>380</v>
      </c>
      <c r="C1188" s="205"/>
      <c r="D1188" s="206"/>
      <c r="E1188" s="259"/>
      <c r="F1188" s="411"/>
      <c r="G1188" s="197"/>
    </row>
    <row r="1189" spans="1:11" x14ac:dyDescent="0.25">
      <c r="A1189" s="203"/>
      <c r="B1189" s="204" t="s">
        <v>1853</v>
      </c>
      <c r="C1189" s="205">
        <v>200</v>
      </c>
      <c r="D1189" s="206" t="s">
        <v>279</v>
      </c>
      <c r="E1189" s="259">
        <v>50000</v>
      </c>
      <c r="F1189" s="411">
        <f>E1189*C1189</f>
        <v>10000000</v>
      </c>
      <c r="G1189" s="197"/>
    </row>
    <row r="1190" spans="1:11" x14ac:dyDescent="0.25">
      <c r="A1190" s="203"/>
      <c r="B1190" s="204"/>
      <c r="C1190" s="205"/>
      <c r="D1190" s="206"/>
      <c r="E1190" s="259"/>
      <c r="F1190" s="411"/>
      <c r="G1190" s="197"/>
    </row>
    <row r="1191" spans="1:11" x14ac:dyDescent="0.25">
      <c r="A1191" s="229"/>
      <c r="B1191" s="213"/>
      <c r="C1191" s="243"/>
      <c r="D1191" s="206"/>
      <c r="E1191" s="231"/>
      <c r="F1191" s="427"/>
      <c r="G1191" s="217"/>
    </row>
    <row r="1192" spans="1:11" x14ac:dyDescent="0.25">
      <c r="A1192" s="297"/>
      <c r="B1192" s="1794" t="s">
        <v>26</v>
      </c>
      <c r="C1192" s="1794"/>
      <c r="D1192" s="1794"/>
      <c r="E1192" s="1795"/>
      <c r="F1192" s="216">
        <f>SUM(F1173:F1191)</f>
        <v>25700000</v>
      </c>
      <c r="G1192" s="251" t="s">
        <v>1845</v>
      </c>
      <c r="H1192" t="s">
        <v>2748</v>
      </c>
      <c r="K1192" s="36">
        <f>F1192</f>
        <v>25700000</v>
      </c>
    </row>
    <row r="1194" spans="1:11" x14ac:dyDescent="0.25">
      <c r="A1194" s="1762" t="s">
        <v>549</v>
      </c>
      <c r="B1194" s="1762"/>
      <c r="C1194" s="188" t="s">
        <v>27</v>
      </c>
      <c r="D1194" s="1763" t="s">
        <v>1426</v>
      </c>
      <c r="E1194" s="1763"/>
      <c r="F1194" s="1763"/>
      <c r="G1194" s="188"/>
    </row>
    <row r="1195" spans="1:11" x14ac:dyDescent="0.25">
      <c r="A1195" s="1762" t="s">
        <v>28</v>
      </c>
      <c r="B1195" s="1762"/>
      <c r="C1195" s="188"/>
      <c r="D1195" s="1764" t="s">
        <v>2831</v>
      </c>
      <c r="E1195" s="1764"/>
      <c r="F1195" s="1764"/>
      <c r="G1195" s="188"/>
      <c r="H1195" s="36"/>
    </row>
    <row r="1196" spans="1:11" x14ac:dyDescent="0.25">
      <c r="A1196" s="186"/>
      <c r="B1196" s="187"/>
      <c r="C1196" s="188"/>
      <c r="D1196" s="189"/>
      <c r="E1196" s="218"/>
      <c r="F1196" s="218"/>
      <c r="G1196" s="188"/>
    </row>
    <row r="1197" spans="1:11" x14ac:dyDescent="0.25">
      <c r="A1197" s="186"/>
      <c r="B1197" s="187"/>
      <c r="C1197" s="188"/>
      <c r="D1197" s="189"/>
      <c r="E1197" s="218"/>
      <c r="F1197" s="218"/>
      <c r="G1197" s="188"/>
    </row>
    <row r="1198" spans="1:11" x14ac:dyDescent="0.25">
      <c r="A1198" s="1762"/>
      <c r="B1198" s="1762"/>
      <c r="C1198" s="188"/>
      <c r="D1198" s="189"/>
      <c r="E1198" s="1762"/>
      <c r="F1198" s="1762"/>
      <c r="G1198" s="188"/>
    </row>
    <row r="1199" spans="1:11" x14ac:dyDescent="0.25">
      <c r="A1199" s="1762" t="s">
        <v>29</v>
      </c>
      <c r="B1199" s="1762"/>
      <c r="C1199" s="188"/>
      <c r="D1199" s="1762" t="s">
        <v>2992</v>
      </c>
      <c r="E1199" s="1762"/>
      <c r="F1199" s="1762"/>
      <c r="G1199" s="188"/>
    </row>
    <row r="1202" spans="1:7" x14ac:dyDescent="0.25">
      <c r="A1202" s="1765" t="s">
        <v>0</v>
      </c>
      <c r="B1202" s="1765"/>
      <c r="C1202" s="1765"/>
      <c r="D1202" s="1765"/>
      <c r="E1202" s="1765"/>
      <c r="F1202" s="1765"/>
      <c r="G1202" s="185"/>
    </row>
    <row r="1203" spans="1:7" x14ac:dyDescent="0.25">
      <c r="A1203" s="1765" t="s">
        <v>1</v>
      </c>
      <c r="B1203" s="1765"/>
      <c r="C1203" s="1765"/>
      <c r="D1203" s="1765"/>
      <c r="E1203" s="1765"/>
      <c r="F1203" s="1765"/>
      <c r="G1203" s="185"/>
    </row>
    <row r="1204" spans="1:7" x14ac:dyDescent="0.25">
      <c r="A1204" s="1765" t="s">
        <v>1769</v>
      </c>
      <c r="B1204" s="1765"/>
      <c r="C1204" s="1765"/>
      <c r="D1204" s="1765"/>
      <c r="E1204" s="1765"/>
      <c r="F1204" s="1765"/>
      <c r="G1204" s="185"/>
    </row>
    <row r="1205" spans="1:7" x14ac:dyDescent="0.25">
      <c r="A1205" s="184"/>
      <c r="B1205" s="184"/>
      <c r="C1205" s="184"/>
      <c r="D1205" s="184"/>
      <c r="E1205" s="184"/>
      <c r="F1205" s="184"/>
      <c r="G1205" s="185"/>
    </row>
    <row r="1206" spans="1:7" x14ac:dyDescent="0.25">
      <c r="A1206" s="253" t="s">
        <v>359</v>
      </c>
      <c r="B1206" s="232" t="s">
        <v>57</v>
      </c>
      <c r="C1206" s="188"/>
      <c r="D1206" s="189"/>
      <c r="E1206" s="190"/>
      <c r="F1206" s="191"/>
      <c r="G1206" s="188"/>
    </row>
    <row r="1207" spans="1:7" ht="24" x14ac:dyDescent="0.25">
      <c r="A1207" s="220" t="s">
        <v>360</v>
      </c>
      <c r="B1207" s="254" t="s">
        <v>361</v>
      </c>
      <c r="C1207" s="188"/>
      <c r="D1207" s="189"/>
      <c r="E1207" s="227" t="s">
        <v>6</v>
      </c>
      <c r="F1207" s="191"/>
      <c r="G1207" s="188"/>
    </row>
    <row r="1208" spans="1:7" ht="48" x14ac:dyDescent="0.25">
      <c r="A1208" s="220" t="s">
        <v>362</v>
      </c>
      <c r="B1208" s="254" t="s">
        <v>381</v>
      </c>
      <c r="C1208" s="188"/>
      <c r="D1208" s="189"/>
      <c r="E1208" s="195" t="s">
        <v>9</v>
      </c>
      <c r="F1208" s="196"/>
      <c r="G1208" s="188"/>
    </row>
    <row r="1209" spans="1:7" x14ac:dyDescent="0.25">
      <c r="A1209" s="221" t="s">
        <v>37</v>
      </c>
      <c r="B1209" s="187" t="s">
        <v>1854</v>
      </c>
      <c r="C1209" s="188"/>
      <c r="D1209" s="189"/>
      <c r="E1209" s="190"/>
      <c r="F1209" s="191"/>
      <c r="G1209" s="188"/>
    </row>
    <row r="1210" spans="1:7" x14ac:dyDescent="0.25">
      <c r="A1210" s="192" t="s">
        <v>10</v>
      </c>
      <c r="B1210" s="187"/>
      <c r="C1210" s="188"/>
      <c r="D1210" s="189"/>
      <c r="E1210" s="190"/>
      <c r="F1210" s="191"/>
      <c r="G1210" s="188"/>
    </row>
    <row r="1211" spans="1:7" x14ac:dyDescent="0.25">
      <c r="A1211" s="192"/>
      <c r="B1211" s="187"/>
      <c r="C1211" s="188"/>
      <c r="D1211" s="189"/>
      <c r="E1211" s="190"/>
      <c r="F1211" s="191"/>
      <c r="G1211" s="188"/>
    </row>
    <row r="1212" spans="1:7" ht="24" x14ac:dyDescent="0.25">
      <c r="A1212" s="197" t="s">
        <v>30</v>
      </c>
      <c r="B1212" s="198" t="s">
        <v>31</v>
      </c>
      <c r="C1212" s="1773" t="s">
        <v>12</v>
      </c>
      <c r="D1212" s="1774"/>
      <c r="E1212" s="198" t="s">
        <v>32</v>
      </c>
      <c r="F1212" s="199" t="s">
        <v>33</v>
      </c>
      <c r="G1212" s="197" t="s">
        <v>34</v>
      </c>
    </row>
    <row r="1213" spans="1:7" x14ac:dyDescent="0.25">
      <c r="A1213" s="200">
        <v>1</v>
      </c>
      <c r="B1213" s="200">
        <v>2</v>
      </c>
      <c r="C1213" s="1789">
        <v>3</v>
      </c>
      <c r="D1213" s="1789"/>
      <c r="E1213" s="201">
        <v>4</v>
      </c>
      <c r="F1213" s="202">
        <v>5</v>
      </c>
      <c r="G1213" s="202">
        <v>6</v>
      </c>
    </row>
    <row r="1214" spans="1:7" x14ac:dyDescent="0.25">
      <c r="A1214" s="203" t="s">
        <v>365</v>
      </c>
      <c r="B1214" s="204" t="s">
        <v>287</v>
      </c>
      <c r="C1214" s="205"/>
      <c r="D1214" s="206"/>
      <c r="E1214" s="197"/>
      <c r="F1214" s="199"/>
      <c r="G1214" s="207"/>
    </row>
    <row r="1215" spans="1:7" x14ac:dyDescent="0.25">
      <c r="A1215" s="203" t="s">
        <v>366</v>
      </c>
      <c r="B1215" s="204" t="s">
        <v>86</v>
      </c>
      <c r="C1215" s="205"/>
      <c r="D1215" s="206"/>
      <c r="E1215" s="197"/>
      <c r="F1215" s="199"/>
      <c r="G1215" s="207"/>
    </row>
    <row r="1216" spans="1:7" ht="24" x14ac:dyDescent="0.25">
      <c r="A1216" s="203" t="s">
        <v>367</v>
      </c>
      <c r="B1216" s="204" t="s">
        <v>290</v>
      </c>
      <c r="C1216" s="205"/>
      <c r="D1216" s="206"/>
      <c r="E1216" s="259"/>
      <c r="F1216" s="239"/>
      <c r="G1216" s="207"/>
    </row>
    <row r="1217" spans="1:7" x14ac:dyDescent="0.25">
      <c r="A1217" s="203"/>
      <c r="B1217" s="204" t="s">
        <v>292</v>
      </c>
      <c r="C1217" s="205">
        <v>4</v>
      </c>
      <c r="D1217" s="206" t="s">
        <v>110</v>
      </c>
      <c r="E1217" s="259">
        <v>90000</v>
      </c>
      <c r="F1217" s="239">
        <f>E1217*C1217</f>
        <v>360000</v>
      </c>
      <c r="G1217" s="217"/>
    </row>
    <row r="1218" spans="1:7" x14ac:dyDescent="0.25">
      <c r="A1218" s="203"/>
      <c r="B1218" s="204"/>
      <c r="C1218" s="205"/>
      <c r="D1218" s="206"/>
      <c r="E1218" s="259"/>
      <c r="F1218" s="239"/>
      <c r="G1218" s="258"/>
    </row>
    <row r="1219" spans="1:7" ht="36" x14ac:dyDescent="0.25">
      <c r="A1219" s="203" t="s">
        <v>368</v>
      </c>
      <c r="B1219" s="204" t="s">
        <v>293</v>
      </c>
      <c r="C1219" s="205"/>
      <c r="D1219" s="206"/>
      <c r="E1219" s="259"/>
      <c r="F1219" s="239"/>
      <c r="G1219" s="207"/>
    </row>
    <row r="1220" spans="1:7" x14ac:dyDescent="0.25">
      <c r="A1220" s="203"/>
      <c r="B1220" s="204" t="s">
        <v>1435</v>
      </c>
      <c r="C1220" s="205">
        <v>320</v>
      </c>
      <c r="D1220" s="206" t="s">
        <v>279</v>
      </c>
      <c r="E1220" s="259">
        <v>75000</v>
      </c>
      <c r="F1220" s="239">
        <f>E1220*C1220</f>
        <v>24000000</v>
      </c>
      <c r="G1220" s="217"/>
    </row>
    <row r="1221" spans="1:7" x14ac:dyDescent="0.25">
      <c r="A1221" s="203"/>
      <c r="B1221" s="204"/>
      <c r="C1221" s="205"/>
      <c r="D1221" s="206"/>
      <c r="E1221" s="259"/>
      <c r="F1221" s="239"/>
      <c r="G1221" s="258"/>
    </row>
    <row r="1222" spans="1:7" x14ac:dyDescent="0.25">
      <c r="A1222" s="203" t="s">
        <v>370</v>
      </c>
      <c r="B1222" s="204" t="s">
        <v>295</v>
      </c>
      <c r="C1222" s="205"/>
      <c r="D1222" s="206"/>
      <c r="E1222" s="259"/>
      <c r="F1222" s="239"/>
      <c r="G1222" s="207"/>
    </row>
    <row r="1223" spans="1:7" x14ac:dyDescent="0.25">
      <c r="A1223" s="203"/>
      <c r="B1223" s="204" t="s">
        <v>296</v>
      </c>
      <c r="C1223" s="205">
        <v>4</v>
      </c>
      <c r="D1223" s="206" t="s">
        <v>297</v>
      </c>
      <c r="E1223" s="259">
        <v>50000</v>
      </c>
      <c r="F1223" s="239">
        <f>E1223*C1223</f>
        <v>200000</v>
      </c>
      <c r="G1223" s="217"/>
    </row>
    <row r="1224" spans="1:7" x14ac:dyDescent="0.25">
      <c r="A1224" s="203"/>
      <c r="B1224" s="204" t="s">
        <v>372</v>
      </c>
      <c r="C1224" s="205">
        <v>20</v>
      </c>
      <c r="D1224" s="206" t="s">
        <v>382</v>
      </c>
      <c r="E1224" s="259">
        <v>20000</v>
      </c>
      <c r="F1224" s="239">
        <f>E1224*C1224</f>
        <v>400000</v>
      </c>
      <c r="G1224" s="217"/>
    </row>
    <row r="1225" spans="1:7" x14ac:dyDescent="0.25">
      <c r="A1225" s="203"/>
      <c r="B1225" s="204" t="s">
        <v>285</v>
      </c>
      <c r="C1225" s="205">
        <v>16</v>
      </c>
      <c r="D1225" s="206" t="s">
        <v>382</v>
      </c>
      <c r="E1225" s="259">
        <v>1000</v>
      </c>
      <c r="F1225" s="239">
        <f>E1225*C1225</f>
        <v>16000</v>
      </c>
      <c r="G1225" s="217"/>
    </row>
    <row r="1226" spans="1:7" x14ac:dyDescent="0.25">
      <c r="A1226" s="185"/>
      <c r="B1226" s="204" t="s">
        <v>383</v>
      </c>
      <c r="C1226" s="205">
        <v>4</v>
      </c>
      <c r="D1226" s="206" t="s">
        <v>300</v>
      </c>
      <c r="E1226" s="259">
        <v>10000</v>
      </c>
      <c r="F1226" s="239">
        <f>E1226*C1226</f>
        <v>40000</v>
      </c>
      <c r="G1226" s="217"/>
    </row>
    <row r="1227" spans="1:7" x14ac:dyDescent="0.25">
      <c r="A1227" s="185"/>
      <c r="B1227" s="204"/>
      <c r="C1227" s="205"/>
      <c r="D1227" s="206"/>
      <c r="E1227" s="259"/>
      <c r="F1227" s="239"/>
      <c r="G1227" s="258"/>
    </row>
    <row r="1228" spans="1:7" x14ac:dyDescent="0.25">
      <c r="A1228" s="203" t="s">
        <v>373</v>
      </c>
      <c r="B1228" s="204" t="s">
        <v>374</v>
      </c>
      <c r="C1228" s="205"/>
      <c r="D1228" s="206"/>
      <c r="E1228" s="259"/>
      <c r="F1228" s="239"/>
      <c r="G1228" s="207"/>
    </row>
    <row r="1229" spans="1:7" x14ac:dyDescent="0.25">
      <c r="A1229" s="203" t="s">
        <v>375</v>
      </c>
      <c r="B1229" s="204" t="s">
        <v>354</v>
      </c>
      <c r="C1229" s="205"/>
      <c r="D1229" s="206"/>
      <c r="E1229" s="259"/>
      <c r="F1229" s="239"/>
      <c r="G1229" s="207"/>
    </row>
    <row r="1230" spans="1:7" x14ac:dyDescent="0.25">
      <c r="A1230" s="203"/>
      <c r="B1230" s="204" t="s">
        <v>376</v>
      </c>
      <c r="C1230" s="205">
        <v>4</v>
      </c>
      <c r="D1230" s="206" t="s">
        <v>131</v>
      </c>
      <c r="E1230" s="259">
        <v>100000</v>
      </c>
      <c r="F1230" s="239">
        <f>E1230*C1230</f>
        <v>400000</v>
      </c>
      <c r="G1230" s="217"/>
    </row>
    <row r="1231" spans="1:7" x14ac:dyDescent="0.25">
      <c r="A1231" s="203"/>
      <c r="B1231" s="204"/>
      <c r="C1231" s="205"/>
      <c r="D1231" s="206"/>
      <c r="E1231" s="259"/>
      <c r="F1231" s="239"/>
      <c r="G1231" s="258"/>
    </row>
    <row r="1232" spans="1:7" ht="24" x14ac:dyDescent="0.25">
      <c r="A1232" s="203" t="s">
        <v>377</v>
      </c>
      <c r="B1232" s="204" t="s">
        <v>378</v>
      </c>
      <c r="C1232" s="205"/>
      <c r="D1232" s="206"/>
      <c r="E1232" s="259"/>
      <c r="F1232" s="239"/>
      <c r="G1232" s="207"/>
    </row>
    <row r="1233" spans="1:19" x14ac:dyDescent="0.25">
      <c r="A1233" s="203" t="s">
        <v>379</v>
      </c>
      <c r="B1233" s="204" t="s">
        <v>384</v>
      </c>
      <c r="C1233" s="205"/>
      <c r="D1233" s="206"/>
      <c r="E1233" s="259"/>
      <c r="F1233" s="239"/>
      <c r="G1233" s="207"/>
    </row>
    <row r="1234" spans="1:19" x14ac:dyDescent="0.25">
      <c r="A1234" s="203"/>
      <c r="B1234" s="204" t="s">
        <v>1436</v>
      </c>
      <c r="C1234" s="205">
        <v>320</v>
      </c>
      <c r="D1234" s="206" t="s">
        <v>279</v>
      </c>
      <c r="E1234" s="259">
        <v>50000</v>
      </c>
      <c r="F1234" s="239">
        <f>E1234*C1234</f>
        <v>16000000</v>
      </c>
      <c r="G1234" s="217"/>
    </row>
    <row r="1235" spans="1:19" x14ac:dyDescent="0.25">
      <c r="A1235" s="229"/>
      <c r="B1235" s="213"/>
      <c r="C1235" s="243"/>
      <c r="D1235" s="206"/>
      <c r="E1235" s="231"/>
      <c r="F1235" s="252"/>
      <c r="G1235" s="217"/>
    </row>
    <row r="1236" spans="1:19" ht="24.75" x14ac:dyDescent="0.25">
      <c r="A1236" s="297"/>
      <c r="B1236" s="1794" t="s">
        <v>26</v>
      </c>
      <c r="C1236" s="1794"/>
      <c r="D1236" s="1794"/>
      <c r="E1236" s="1795"/>
      <c r="F1236" s="215">
        <f>SUM(F1216:F1235)</f>
        <v>41416000</v>
      </c>
      <c r="G1236" s="213" t="s">
        <v>2570</v>
      </c>
      <c r="J1236" s="36"/>
      <c r="S1236" s="36">
        <f>F1236</f>
        <v>41416000</v>
      </c>
    </row>
    <row r="1238" spans="1:19" x14ac:dyDescent="0.25">
      <c r="A1238" s="1762" t="s">
        <v>549</v>
      </c>
      <c r="B1238" s="1762"/>
      <c r="C1238" s="188" t="s">
        <v>27</v>
      </c>
      <c r="D1238" s="1763" t="s">
        <v>1426</v>
      </c>
      <c r="E1238" s="1763"/>
      <c r="F1238" s="1763"/>
      <c r="G1238" s="188"/>
    </row>
    <row r="1239" spans="1:19" x14ac:dyDescent="0.25">
      <c r="A1239" s="1762" t="s">
        <v>28</v>
      </c>
      <c r="B1239" s="1762"/>
      <c r="C1239" s="188"/>
      <c r="D1239" s="1764" t="s">
        <v>2831</v>
      </c>
      <c r="E1239" s="1764"/>
      <c r="F1239" s="1764"/>
      <c r="G1239" s="188"/>
      <c r="H1239" s="36"/>
    </row>
    <row r="1240" spans="1:19" x14ac:dyDescent="0.25">
      <c r="A1240" s="186"/>
      <c r="B1240" s="187"/>
      <c r="C1240" s="188"/>
      <c r="D1240" s="189"/>
      <c r="E1240" s="218"/>
      <c r="F1240" s="218"/>
      <c r="G1240" s="188"/>
    </row>
    <row r="1241" spans="1:19" x14ac:dyDescent="0.25">
      <c r="A1241" s="186"/>
      <c r="B1241" s="187"/>
      <c r="C1241" s="188"/>
      <c r="D1241" s="189"/>
      <c r="E1241" s="218"/>
      <c r="F1241" s="218"/>
      <c r="G1241" s="188"/>
    </row>
    <row r="1242" spans="1:19" x14ac:dyDescent="0.25">
      <c r="A1242" s="1762"/>
      <c r="B1242" s="1762"/>
      <c r="C1242" s="188"/>
      <c r="D1242" s="189"/>
      <c r="E1242" s="1762"/>
      <c r="F1242" s="1762"/>
      <c r="G1242" s="188"/>
    </row>
    <row r="1243" spans="1:19" x14ac:dyDescent="0.25">
      <c r="A1243" s="1762" t="s">
        <v>29</v>
      </c>
      <c r="B1243" s="1762"/>
      <c r="C1243" s="188"/>
      <c r="D1243" s="1762" t="s">
        <v>2992</v>
      </c>
      <c r="E1243" s="1762"/>
      <c r="F1243" s="1762"/>
      <c r="G1243" s="188"/>
    </row>
    <row r="1247" spans="1:19" x14ac:dyDescent="0.25">
      <c r="A1247" s="1765" t="s">
        <v>0</v>
      </c>
      <c r="B1247" s="1765"/>
      <c r="C1247" s="1765"/>
      <c r="D1247" s="1765"/>
      <c r="E1247" s="1765"/>
      <c r="F1247" s="1765"/>
      <c r="G1247" s="185"/>
    </row>
    <row r="1248" spans="1:19" x14ac:dyDescent="0.25">
      <c r="A1248" s="1765" t="s">
        <v>1</v>
      </c>
      <c r="B1248" s="1765"/>
      <c r="C1248" s="1765"/>
      <c r="D1248" s="1765"/>
      <c r="E1248" s="1765"/>
      <c r="F1248" s="1765"/>
      <c r="G1248" s="185"/>
    </row>
    <row r="1249" spans="1:7" x14ac:dyDescent="0.25">
      <c r="A1249" s="1765" t="s">
        <v>1769</v>
      </c>
      <c r="B1249" s="1765"/>
      <c r="C1249" s="1765"/>
      <c r="D1249" s="1765"/>
      <c r="E1249" s="1765"/>
      <c r="F1249" s="1765"/>
      <c r="G1249" s="185"/>
    </row>
    <row r="1250" spans="1:7" x14ac:dyDescent="0.25">
      <c r="A1250" s="184"/>
      <c r="B1250" s="184"/>
      <c r="C1250" s="184"/>
      <c r="D1250" s="184"/>
      <c r="E1250" s="184"/>
      <c r="F1250" s="184"/>
      <c r="G1250" s="185"/>
    </row>
    <row r="1251" spans="1:7" x14ac:dyDescent="0.25">
      <c r="A1251" s="263" t="s">
        <v>261</v>
      </c>
      <c r="B1251" s="225" t="s">
        <v>3</v>
      </c>
      <c r="C1251" s="263"/>
      <c r="D1251" s="189"/>
      <c r="E1251" s="190"/>
      <c r="F1251" s="191"/>
      <c r="G1251" s="188"/>
    </row>
    <row r="1252" spans="1:7" ht="38.25" x14ac:dyDescent="0.25">
      <c r="A1252" s="263" t="s">
        <v>262</v>
      </c>
      <c r="B1252" s="225" t="s">
        <v>385</v>
      </c>
      <c r="C1252" s="263"/>
      <c r="D1252" s="189"/>
      <c r="E1252" s="227" t="s">
        <v>6</v>
      </c>
      <c r="F1252" s="191"/>
      <c r="G1252" s="188"/>
    </row>
    <row r="1253" spans="1:7" ht="25.5" x14ac:dyDescent="0.25">
      <c r="A1253" s="265" t="s">
        <v>263</v>
      </c>
      <c r="B1253" s="265" t="s">
        <v>386</v>
      </c>
      <c r="C1253" s="265"/>
      <c r="D1253" s="189"/>
      <c r="E1253" s="195" t="s">
        <v>9</v>
      </c>
      <c r="F1253" s="196"/>
      <c r="G1253" s="188"/>
    </row>
    <row r="1254" spans="1:7" x14ac:dyDescent="0.25">
      <c r="A1254" s="226" t="s">
        <v>60</v>
      </c>
      <c r="B1254" s="226" t="s">
        <v>61</v>
      </c>
      <c r="C1254" s="226"/>
      <c r="D1254" s="189"/>
      <c r="E1254" s="190"/>
      <c r="F1254" s="191"/>
      <c r="G1254" s="188"/>
    </row>
    <row r="1255" spans="1:7" x14ac:dyDescent="0.25">
      <c r="A1255" s="226" t="s">
        <v>62</v>
      </c>
      <c r="B1255" s="226" t="s">
        <v>63</v>
      </c>
      <c r="C1255" s="226"/>
      <c r="D1255" s="189"/>
      <c r="E1255" s="190"/>
      <c r="F1255" s="191"/>
      <c r="G1255" s="188"/>
    </row>
    <row r="1256" spans="1:7" ht="23.25" customHeight="1" x14ac:dyDescent="0.25">
      <c r="A1256" s="192"/>
      <c r="B1256" s="187"/>
      <c r="C1256" s="188"/>
      <c r="D1256" s="189"/>
      <c r="E1256" s="190"/>
      <c r="F1256" s="191"/>
      <c r="G1256" s="188"/>
    </row>
    <row r="1257" spans="1:7" ht="24" x14ac:dyDescent="0.25">
      <c r="A1257" s="197" t="s">
        <v>30</v>
      </c>
      <c r="B1257" s="198" t="s">
        <v>31</v>
      </c>
      <c r="C1257" s="1773" t="s">
        <v>12</v>
      </c>
      <c r="D1257" s="1774"/>
      <c r="E1257" s="198" t="s">
        <v>32</v>
      </c>
      <c r="F1257" s="199" t="s">
        <v>33</v>
      </c>
      <c r="G1257" s="197" t="s">
        <v>34</v>
      </c>
    </row>
    <row r="1258" spans="1:7" x14ac:dyDescent="0.25">
      <c r="A1258" s="200">
        <v>1</v>
      </c>
      <c r="B1258" s="200">
        <v>2</v>
      </c>
      <c r="C1258" s="1789">
        <v>3</v>
      </c>
      <c r="D1258" s="1789"/>
      <c r="E1258" s="201">
        <v>4</v>
      </c>
      <c r="F1258" s="202">
        <v>5</v>
      </c>
      <c r="G1258" s="202">
        <v>6</v>
      </c>
    </row>
    <row r="1259" spans="1:7" x14ac:dyDescent="0.25">
      <c r="A1259" s="203" t="s">
        <v>387</v>
      </c>
      <c r="B1259" s="204" t="s">
        <v>287</v>
      </c>
      <c r="C1259" s="205"/>
      <c r="D1259" s="206"/>
      <c r="E1259" s="197"/>
      <c r="F1259" s="199"/>
      <c r="G1259" s="207"/>
    </row>
    <row r="1260" spans="1:7" x14ac:dyDescent="0.25">
      <c r="A1260" s="203" t="s">
        <v>388</v>
      </c>
      <c r="B1260" s="204" t="s">
        <v>86</v>
      </c>
      <c r="C1260" s="205"/>
      <c r="D1260" s="206"/>
      <c r="E1260" s="197"/>
      <c r="F1260" s="199"/>
      <c r="G1260" s="207"/>
    </row>
    <row r="1261" spans="1:7" ht="24" x14ac:dyDescent="0.25">
      <c r="A1261" s="203" t="s">
        <v>389</v>
      </c>
      <c r="B1261" s="204" t="s">
        <v>290</v>
      </c>
      <c r="C1261" s="205"/>
      <c r="D1261" s="206"/>
      <c r="E1261" s="259"/>
      <c r="F1261" s="239"/>
      <c r="G1261" s="207"/>
    </row>
    <row r="1262" spans="1:7" x14ac:dyDescent="0.25">
      <c r="A1262" s="203"/>
      <c r="B1262" s="204" t="s">
        <v>292</v>
      </c>
      <c r="C1262" s="205">
        <v>4</v>
      </c>
      <c r="D1262" s="206" t="s">
        <v>110</v>
      </c>
      <c r="E1262" s="259">
        <v>90000</v>
      </c>
      <c r="F1262" s="239">
        <f>E1262*C1262</f>
        <v>360000</v>
      </c>
      <c r="G1262" s="217"/>
    </row>
    <row r="1263" spans="1:7" x14ac:dyDescent="0.25">
      <c r="A1263" s="428"/>
      <c r="B1263" s="204"/>
      <c r="C1263" s="205"/>
      <c r="D1263" s="206"/>
      <c r="E1263" s="259"/>
      <c r="F1263" s="239"/>
      <c r="G1263" s="258"/>
    </row>
    <row r="1264" spans="1:7" ht="36" x14ac:dyDescent="0.25">
      <c r="A1264" s="203" t="s">
        <v>390</v>
      </c>
      <c r="B1264" s="204" t="s">
        <v>293</v>
      </c>
      <c r="C1264" s="205"/>
      <c r="D1264" s="206"/>
      <c r="E1264" s="259"/>
      <c r="F1264" s="239"/>
      <c r="G1264" s="207"/>
    </row>
    <row r="1265" spans="1:19" x14ac:dyDescent="0.25">
      <c r="A1265" s="428"/>
      <c r="B1265" s="204" t="s">
        <v>2652</v>
      </c>
      <c r="C1265" s="205">
        <v>200</v>
      </c>
      <c r="D1265" s="206" t="s">
        <v>279</v>
      </c>
      <c r="E1265" s="259">
        <v>75000</v>
      </c>
      <c r="F1265" s="239">
        <f>E1265*C1265</f>
        <v>15000000</v>
      </c>
      <c r="G1265" s="217"/>
    </row>
    <row r="1266" spans="1:19" x14ac:dyDescent="0.25">
      <c r="A1266" s="203"/>
      <c r="B1266" s="204"/>
      <c r="C1266" s="205"/>
      <c r="D1266" s="206"/>
      <c r="E1266" s="259"/>
      <c r="F1266" s="239"/>
      <c r="G1266" s="258"/>
    </row>
    <row r="1267" spans="1:19" x14ac:dyDescent="0.25">
      <c r="A1267" s="203" t="s">
        <v>391</v>
      </c>
      <c r="B1267" s="204" t="s">
        <v>295</v>
      </c>
      <c r="C1267" s="205"/>
      <c r="D1267" s="206"/>
      <c r="E1267" s="259"/>
      <c r="F1267" s="239"/>
      <c r="G1267" s="207"/>
    </row>
    <row r="1268" spans="1:19" x14ac:dyDescent="0.25">
      <c r="A1268" s="203"/>
      <c r="B1268" s="204" t="s">
        <v>296</v>
      </c>
      <c r="C1268" s="205">
        <v>4</v>
      </c>
      <c r="D1268" s="206" t="s">
        <v>297</v>
      </c>
      <c r="E1268" s="259">
        <v>50000</v>
      </c>
      <c r="F1268" s="239">
        <f>E1268*C1268</f>
        <v>200000</v>
      </c>
      <c r="G1268" s="217"/>
    </row>
    <row r="1269" spans="1:19" x14ac:dyDescent="0.25">
      <c r="A1269" s="428"/>
      <c r="B1269" s="204" t="s">
        <v>372</v>
      </c>
      <c r="C1269" s="205">
        <v>20</v>
      </c>
      <c r="D1269" s="206" t="s">
        <v>165</v>
      </c>
      <c r="E1269" s="259">
        <v>20000</v>
      </c>
      <c r="F1269" s="239">
        <f>E1269*C1269</f>
        <v>400000</v>
      </c>
      <c r="G1269" s="217"/>
    </row>
    <row r="1270" spans="1:19" x14ac:dyDescent="0.25">
      <c r="A1270" s="428"/>
      <c r="B1270" s="204" t="s">
        <v>299</v>
      </c>
      <c r="C1270" s="205">
        <v>4</v>
      </c>
      <c r="D1270" s="206" t="s">
        <v>300</v>
      </c>
      <c r="E1270" s="259">
        <v>10000</v>
      </c>
      <c r="F1270" s="239">
        <f>E1270*C1270</f>
        <v>40000</v>
      </c>
      <c r="G1270" s="217"/>
    </row>
    <row r="1271" spans="1:19" x14ac:dyDescent="0.25">
      <c r="A1271" s="203"/>
      <c r="B1271" s="204"/>
      <c r="C1271" s="205"/>
      <c r="D1271" s="206"/>
      <c r="E1271" s="259"/>
      <c r="F1271" s="239"/>
      <c r="G1271" s="258"/>
    </row>
    <row r="1272" spans="1:19" x14ac:dyDescent="0.25">
      <c r="A1272" s="203" t="s">
        <v>392</v>
      </c>
      <c r="B1272" s="204" t="s">
        <v>374</v>
      </c>
      <c r="C1272" s="205"/>
      <c r="D1272" s="206"/>
      <c r="E1272" s="259"/>
      <c r="F1272" s="239"/>
      <c r="G1272" s="207"/>
    </row>
    <row r="1273" spans="1:19" x14ac:dyDescent="0.25">
      <c r="A1273" s="203" t="s">
        <v>393</v>
      </c>
      <c r="B1273" s="204" t="s">
        <v>354</v>
      </c>
      <c r="C1273" s="205"/>
      <c r="D1273" s="206"/>
      <c r="E1273" s="259"/>
      <c r="F1273" s="239"/>
      <c r="G1273" s="207"/>
    </row>
    <row r="1274" spans="1:19" x14ac:dyDescent="0.25">
      <c r="A1274" s="203"/>
      <c r="B1274" s="204" t="s">
        <v>376</v>
      </c>
      <c r="C1274" s="205">
        <v>4</v>
      </c>
      <c r="D1274" s="206" t="s">
        <v>131</v>
      </c>
      <c r="E1274" s="259">
        <v>100000</v>
      </c>
      <c r="F1274" s="239">
        <f>E1274*C1274</f>
        <v>400000</v>
      </c>
      <c r="G1274" s="217"/>
    </row>
    <row r="1275" spans="1:19" x14ac:dyDescent="0.25">
      <c r="A1275" s="203"/>
      <c r="B1275" s="204"/>
      <c r="C1275" s="205"/>
      <c r="D1275" s="206"/>
      <c r="E1275" s="259"/>
      <c r="F1275" s="239"/>
      <c r="G1275" s="258"/>
    </row>
    <row r="1276" spans="1:19" ht="24" x14ac:dyDescent="0.25">
      <c r="A1276" s="203" t="s">
        <v>394</v>
      </c>
      <c r="B1276" s="204" t="s">
        <v>378</v>
      </c>
      <c r="C1276" s="205"/>
      <c r="D1276" s="206"/>
      <c r="E1276" s="259"/>
      <c r="F1276" s="239"/>
      <c r="G1276" s="207"/>
    </row>
    <row r="1277" spans="1:19" x14ac:dyDescent="0.25">
      <c r="A1277" s="203" t="s">
        <v>395</v>
      </c>
      <c r="B1277" s="204" t="s">
        <v>384</v>
      </c>
      <c r="C1277" s="205"/>
      <c r="D1277" s="206"/>
      <c r="E1277" s="259"/>
      <c r="F1277" s="239"/>
      <c r="G1277" s="207"/>
    </row>
    <row r="1278" spans="1:19" x14ac:dyDescent="0.25">
      <c r="A1278" s="203"/>
      <c r="B1278" s="204" t="s">
        <v>2876</v>
      </c>
      <c r="C1278" s="205">
        <f>40*4</f>
        <v>160</v>
      </c>
      <c r="D1278" s="206" t="s">
        <v>279</v>
      </c>
      <c r="E1278" s="259">
        <v>50000</v>
      </c>
      <c r="F1278" s="239">
        <f>E1278*C1278</f>
        <v>8000000</v>
      </c>
      <c r="G1278" s="217"/>
    </row>
    <row r="1279" spans="1:19" x14ac:dyDescent="0.25">
      <c r="A1279" s="229"/>
      <c r="B1279" s="213"/>
      <c r="C1279" s="243"/>
      <c r="D1279" s="206"/>
      <c r="E1279" s="231"/>
      <c r="F1279" s="252"/>
      <c r="G1279" s="217"/>
    </row>
    <row r="1280" spans="1:19" x14ac:dyDescent="0.25">
      <c r="A1280" s="297"/>
      <c r="B1280" s="1794" t="s">
        <v>26</v>
      </c>
      <c r="C1280" s="1794"/>
      <c r="D1280" s="1794"/>
      <c r="E1280" s="1795"/>
      <c r="F1280" s="215">
        <f>SUM(F1261:F1279)</f>
        <v>24400000</v>
      </c>
      <c r="G1280" s="217" t="s">
        <v>2570</v>
      </c>
      <c r="J1280" s="36"/>
      <c r="S1280" s="36">
        <f>F1280</f>
        <v>24400000</v>
      </c>
    </row>
    <row r="1281" spans="1:8" x14ac:dyDescent="0.25">
      <c r="F1281" s="3"/>
    </row>
    <row r="1282" spans="1:8" x14ac:dyDescent="0.25">
      <c r="A1282" s="1762" t="s">
        <v>549</v>
      </c>
      <c r="B1282" s="1762"/>
      <c r="C1282" s="188" t="s">
        <v>27</v>
      </c>
      <c r="D1282" s="1763" t="s">
        <v>1426</v>
      </c>
      <c r="E1282" s="1763"/>
      <c r="F1282" s="1763"/>
      <c r="G1282" s="188"/>
    </row>
    <row r="1283" spans="1:8" x14ac:dyDescent="0.25">
      <c r="A1283" s="1762" t="s">
        <v>28</v>
      </c>
      <c r="B1283" s="1762"/>
      <c r="C1283" s="188"/>
      <c r="D1283" s="1764" t="s">
        <v>2831</v>
      </c>
      <c r="E1283" s="1764"/>
      <c r="F1283" s="1764"/>
      <c r="G1283" s="188"/>
      <c r="H1283" s="36"/>
    </row>
    <row r="1284" spans="1:8" x14ac:dyDescent="0.25">
      <c r="A1284" s="186"/>
      <c r="B1284" s="187"/>
      <c r="C1284" s="188"/>
      <c r="D1284" s="189"/>
      <c r="E1284" s="218"/>
      <c r="F1284" s="218"/>
      <c r="G1284" s="188"/>
    </row>
    <row r="1285" spans="1:8" x14ac:dyDescent="0.25">
      <c r="A1285" s="186"/>
      <c r="B1285" s="187"/>
      <c r="C1285" s="188"/>
      <c r="D1285" s="189"/>
      <c r="E1285" s="218"/>
      <c r="F1285" s="218"/>
      <c r="G1285" s="188"/>
    </row>
    <row r="1286" spans="1:8" x14ac:dyDescent="0.25">
      <c r="A1286" s="1762"/>
      <c r="B1286" s="1762"/>
      <c r="C1286" s="188"/>
      <c r="D1286" s="189"/>
      <c r="E1286" s="1762"/>
      <c r="F1286" s="1762"/>
      <c r="G1286" s="188"/>
    </row>
    <row r="1287" spans="1:8" x14ac:dyDescent="0.25">
      <c r="A1287" s="1762" t="s">
        <v>29</v>
      </c>
      <c r="B1287" s="1762"/>
      <c r="C1287" s="188"/>
      <c r="D1287" s="1762" t="s">
        <v>2992</v>
      </c>
      <c r="E1287" s="1762"/>
      <c r="F1287" s="1762"/>
      <c r="G1287" s="188"/>
    </row>
    <row r="1288" spans="1:8" x14ac:dyDescent="0.25">
      <c r="A1288" s="1765" t="s">
        <v>0</v>
      </c>
      <c r="B1288" s="1765"/>
      <c r="C1288" s="1765"/>
      <c r="D1288" s="1765"/>
      <c r="E1288" s="1765"/>
      <c r="F1288" s="1765"/>
      <c r="G1288" s="185"/>
      <c r="H1288" s="3"/>
    </row>
    <row r="1289" spans="1:8" x14ac:dyDescent="0.25">
      <c r="A1289" s="1765" t="s">
        <v>1</v>
      </c>
      <c r="B1289" s="1765"/>
      <c r="C1289" s="1765"/>
      <c r="D1289" s="1765"/>
      <c r="E1289" s="1765"/>
      <c r="F1289" s="1765"/>
      <c r="G1289" s="185"/>
      <c r="H1289" s="3"/>
    </row>
    <row r="1290" spans="1:8" x14ac:dyDescent="0.25">
      <c r="A1290" s="1765" t="s">
        <v>1425</v>
      </c>
      <c r="B1290" s="1765"/>
      <c r="C1290" s="1765"/>
      <c r="D1290" s="1765"/>
      <c r="E1290" s="1765"/>
      <c r="F1290" s="1765"/>
      <c r="G1290" s="185"/>
      <c r="H1290" s="3"/>
    </row>
    <row r="1291" spans="1:8" x14ac:dyDescent="0.25">
      <c r="A1291" s="184"/>
      <c r="B1291" s="184"/>
      <c r="C1291" s="184"/>
      <c r="D1291" s="184"/>
      <c r="E1291" s="184"/>
      <c r="F1291" s="184"/>
      <c r="G1291" s="185"/>
      <c r="H1291" s="3"/>
    </row>
    <row r="1292" spans="1:8" x14ac:dyDescent="0.25">
      <c r="A1292" s="263" t="s">
        <v>261</v>
      </c>
      <c r="B1292" s="225" t="s">
        <v>57</v>
      </c>
      <c r="C1292" s="263"/>
      <c r="D1292" s="263"/>
      <c r="E1292" s="227" t="s">
        <v>6</v>
      </c>
      <c r="F1292" s="191"/>
      <c r="H1292" s="3"/>
    </row>
    <row r="1293" spans="1:8" ht="38.25" x14ac:dyDescent="0.25">
      <c r="A1293" s="263" t="s">
        <v>262</v>
      </c>
      <c r="B1293" s="225" t="s">
        <v>361</v>
      </c>
      <c r="C1293" s="263"/>
      <c r="D1293" s="263"/>
      <c r="E1293" s="195" t="s">
        <v>9</v>
      </c>
      <c r="F1293" s="196"/>
      <c r="H1293" s="3"/>
    </row>
    <row r="1294" spans="1:8" ht="25.5" x14ac:dyDescent="0.25">
      <c r="A1294" s="265" t="s">
        <v>263</v>
      </c>
      <c r="B1294" s="265" t="s">
        <v>1855</v>
      </c>
      <c r="C1294" s="265"/>
      <c r="D1294" s="265"/>
      <c r="E1294" s="265"/>
      <c r="F1294" s="265"/>
      <c r="H1294" s="3"/>
    </row>
    <row r="1295" spans="1:8" x14ac:dyDescent="0.25">
      <c r="A1295" s="226" t="s">
        <v>60</v>
      </c>
      <c r="B1295" s="226" t="s">
        <v>61</v>
      </c>
      <c r="C1295" s="226"/>
      <c r="D1295" s="188"/>
      <c r="E1295" s="188"/>
      <c r="F1295" s="188"/>
      <c r="H1295" s="3"/>
    </row>
    <row r="1296" spans="1:8" x14ac:dyDescent="0.25">
      <c r="A1296" s="226" t="s">
        <v>62</v>
      </c>
      <c r="B1296" s="226" t="s">
        <v>63</v>
      </c>
      <c r="C1296" s="226"/>
      <c r="D1296" s="1763"/>
      <c r="E1296" s="1763"/>
      <c r="F1296" s="188"/>
      <c r="H1296" s="3"/>
    </row>
    <row r="1297" spans="1:8" x14ac:dyDescent="0.25">
      <c r="A1297" s="187"/>
      <c r="B1297" s="187"/>
      <c r="C1297" s="187"/>
      <c r="D1297" s="187"/>
      <c r="E1297" s="187"/>
      <c r="F1297" s="187"/>
      <c r="H1297" s="3"/>
    </row>
    <row r="1298" spans="1:8" ht="24" x14ac:dyDescent="0.25">
      <c r="A1298" s="198" t="s">
        <v>265</v>
      </c>
      <c r="B1298" s="198" t="s">
        <v>11</v>
      </c>
      <c r="C1298" s="1766" t="s">
        <v>12</v>
      </c>
      <c r="D1298" s="1766"/>
      <c r="E1298" s="267" t="s">
        <v>13</v>
      </c>
      <c r="F1298" s="268" t="s">
        <v>14</v>
      </c>
      <c r="G1298" s="34" t="s">
        <v>266</v>
      </c>
      <c r="H1298" s="3"/>
    </row>
    <row r="1299" spans="1:8" x14ac:dyDescent="0.25">
      <c r="A1299" s="198">
        <v>1</v>
      </c>
      <c r="B1299" s="198">
        <v>2</v>
      </c>
      <c r="C1299" s="1767">
        <v>3</v>
      </c>
      <c r="D1299" s="1768"/>
      <c r="E1299" s="269">
        <v>4</v>
      </c>
      <c r="F1299" s="268">
        <v>5</v>
      </c>
      <c r="G1299" s="35">
        <v>6</v>
      </c>
      <c r="H1299" s="3"/>
    </row>
    <row r="1300" spans="1:8" x14ac:dyDescent="0.25">
      <c r="A1300" s="203" t="s">
        <v>555</v>
      </c>
      <c r="B1300" s="204" t="s">
        <v>287</v>
      </c>
      <c r="C1300" s="205"/>
      <c r="D1300" s="206"/>
      <c r="E1300" s="197"/>
      <c r="F1300" s="199"/>
      <c r="G1300" s="1"/>
      <c r="H1300" s="3"/>
    </row>
    <row r="1301" spans="1:8" x14ac:dyDescent="0.25">
      <c r="A1301" s="203" t="s">
        <v>556</v>
      </c>
      <c r="B1301" s="204" t="s">
        <v>86</v>
      </c>
      <c r="C1301" s="205"/>
      <c r="D1301" s="206"/>
      <c r="E1301" s="197"/>
      <c r="F1301" s="199"/>
      <c r="G1301" s="1"/>
      <c r="H1301" s="3"/>
    </row>
    <row r="1302" spans="1:8" ht="31.5" customHeight="1" x14ac:dyDescent="0.25">
      <c r="A1302" s="203" t="s">
        <v>557</v>
      </c>
      <c r="B1302" s="204" t="s">
        <v>290</v>
      </c>
      <c r="C1302" s="205"/>
      <c r="D1302" s="206"/>
      <c r="E1302" s="259"/>
      <c r="F1302" s="239"/>
      <c r="G1302" s="1"/>
      <c r="H1302" s="3"/>
    </row>
    <row r="1303" spans="1:8" x14ac:dyDescent="0.25">
      <c r="A1303" s="203"/>
      <c r="B1303" s="204" t="s">
        <v>558</v>
      </c>
      <c r="C1303" s="205">
        <v>4</v>
      </c>
      <c r="D1303" s="206" t="s">
        <v>110</v>
      </c>
      <c r="E1303" s="259">
        <v>450000</v>
      </c>
      <c r="F1303" s="239">
        <f>E1303*C1303</f>
        <v>1800000</v>
      </c>
      <c r="G1303" s="1"/>
      <c r="H1303" s="3"/>
    </row>
    <row r="1304" spans="1:8" x14ac:dyDescent="0.25">
      <c r="A1304" s="203"/>
      <c r="B1304" s="204"/>
      <c r="C1304" s="205"/>
      <c r="D1304" s="206"/>
      <c r="E1304" s="259"/>
      <c r="F1304" s="239"/>
      <c r="G1304" s="1"/>
      <c r="H1304" s="3"/>
    </row>
    <row r="1305" spans="1:8" ht="36" x14ac:dyDescent="0.25">
      <c r="A1305" s="203" t="s">
        <v>559</v>
      </c>
      <c r="B1305" s="204" t="s">
        <v>293</v>
      </c>
      <c r="C1305" s="205"/>
      <c r="D1305" s="206"/>
      <c r="E1305" s="259"/>
      <c r="F1305" s="239"/>
      <c r="G1305" s="1"/>
      <c r="H1305" s="3"/>
    </row>
    <row r="1306" spans="1:8" x14ac:dyDescent="0.25">
      <c r="A1306" s="203"/>
      <c r="B1306" s="204" t="s">
        <v>560</v>
      </c>
      <c r="C1306" s="205">
        <f>12*11</f>
        <v>132</v>
      </c>
      <c r="D1306" s="206" t="s">
        <v>279</v>
      </c>
      <c r="E1306" s="259">
        <v>15000</v>
      </c>
      <c r="F1306" s="259">
        <f>E1306*C1306</f>
        <v>1980000</v>
      </c>
      <c r="G1306" s="1"/>
      <c r="H1306" s="3"/>
    </row>
    <row r="1307" spans="1:8" x14ac:dyDescent="0.25">
      <c r="A1307" s="203"/>
      <c r="B1307" s="204"/>
      <c r="C1307" s="205"/>
      <c r="D1307" s="206"/>
      <c r="E1307" s="259"/>
      <c r="F1307" s="239"/>
      <c r="G1307" s="1"/>
      <c r="H1307" s="3"/>
    </row>
    <row r="1308" spans="1:8" x14ac:dyDescent="0.25">
      <c r="A1308" s="203" t="s">
        <v>561</v>
      </c>
      <c r="B1308" s="204" t="s">
        <v>304</v>
      </c>
      <c r="C1308" s="205"/>
      <c r="D1308" s="206"/>
      <c r="E1308" s="259"/>
      <c r="F1308" s="239"/>
      <c r="G1308" s="1"/>
      <c r="H1308" s="3"/>
    </row>
    <row r="1309" spans="1:8" ht="24" x14ac:dyDescent="0.25">
      <c r="A1309" s="203" t="s">
        <v>562</v>
      </c>
      <c r="B1309" s="204" t="s">
        <v>563</v>
      </c>
      <c r="C1309" s="205"/>
      <c r="D1309" s="206"/>
      <c r="E1309" s="259"/>
      <c r="F1309" s="239"/>
      <c r="G1309" s="1"/>
      <c r="H1309" s="3"/>
    </row>
    <row r="1310" spans="1:8" x14ac:dyDescent="0.25">
      <c r="A1310" s="203"/>
      <c r="B1310" s="204" t="s">
        <v>564</v>
      </c>
      <c r="C1310" s="205"/>
      <c r="D1310" s="206"/>
      <c r="E1310" s="259"/>
      <c r="F1310" s="239"/>
      <c r="G1310" s="1"/>
      <c r="H1310" s="3"/>
    </row>
    <row r="1311" spans="1:8" x14ac:dyDescent="0.25">
      <c r="A1311" s="203"/>
      <c r="B1311" s="204" t="s">
        <v>188</v>
      </c>
      <c r="C1311" s="205">
        <v>1</v>
      </c>
      <c r="D1311" s="206" t="s">
        <v>222</v>
      </c>
      <c r="E1311" s="259">
        <v>300000</v>
      </c>
      <c r="F1311" s="239">
        <f>E1311*C1311</f>
        <v>300000</v>
      </c>
      <c r="G1311" s="1"/>
      <c r="H1311" s="3"/>
    </row>
    <row r="1312" spans="1:8" x14ac:dyDescent="0.25">
      <c r="A1312" s="217"/>
      <c r="B1312" s="204" t="s">
        <v>189</v>
      </c>
      <c r="C1312" s="205">
        <v>1</v>
      </c>
      <c r="D1312" s="206" t="s">
        <v>222</v>
      </c>
      <c r="E1312" s="259">
        <v>250000</v>
      </c>
      <c r="F1312" s="239">
        <f t="shared" ref="F1312:F1318" si="17">E1312*C1312</f>
        <v>250000</v>
      </c>
      <c r="G1312" s="1"/>
      <c r="H1312" s="3"/>
    </row>
    <row r="1313" spans="1:19" x14ac:dyDescent="0.25">
      <c r="A1313" s="217"/>
      <c r="B1313" s="204" t="s">
        <v>565</v>
      </c>
      <c r="C1313" s="205">
        <v>3</v>
      </c>
      <c r="D1313" s="206" t="s">
        <v>222</v>
      </c>
      <c r="E1313" s="259">
        <v>200000</v>
      </c>
      <c r="F1313" s="239">
        <f t="shared" si="17"/>
        <v>600000</v>
      </c>
      <c r="G1313" s="1"/>
      <c r="H1313" s="3"/>
    </row>
    <row r="1314" spans="1:19" x14ac:dyDescent="0.25">
      <c r="A1314" s="217"/>
      <c r="B1314" s="204" t="s">
        <v>566</v>
      </c>
      <c r="C1314" s="205"/>
      <c r="D1314" s="206"/>
      <c r="E1314" s="259"/>
      <c r="F1314" s="239"/>
      <c r="G1314" s="1"/>
      <c r="H1314" s="3"/>
    </row>
    <row r="1315" spans="1:19" x14ac:dyDescent="0.25">
      <c r="A1315" s="243"/>
      <c r="B1315" s="204" t="s">
        <v>188</v>
      </c>
      <c r="C1315" s="205">
        <v>3</v>
      </c>
      <c r="D1315" s="206" t="s">
        <v>21</v>
      </c>
      <c r="E1315" s="259">
        <v>600000</v>
      </c>
      <c r="F1315" s="239">
        <f t="shared" si="17"/>
        <v>1800000</v>
      </c>
      <c r="G1315" s="1"/>
      <c r="H1315" s="3"/>
    </row>
    <row r="1316" spans="1:19" x14ac:dyDescent="0.25">
      <c r="A1316" s="217"/>
      <c r="B1316" s="204" t="s">
        <v>189</v>
      </c>
      <c r="C1316" s="205">
        <v>3</v>
      </c>
      <c r="D1316" s="206" t="s">
        <v>21</v>
      </c>
      <c r="E1316" s="259">
        <v>500000</v>
      </c>
      <c r="F1316" s="239">
        <f t="shared" si="17"/>
        <v>1500000</v>
      </c>
      <c r="G1316" s="1"/>
      <c r="H1316" s="3"/>
    </row>
    <row r="1317" spans="1:19" x14ac:dyDescent="0.25">
      <c r="A1317" s="243"/>
      <c r="B1317" s="204" t="s">
        <v>567</v>
      </c>
      <c r="C1317" s="205">
        <f>9*3</f>
        <v>27</v>
      </c>
      <c r="D1317" s="206" t="s">
        <v>21</v>
      </c>
      <c r="E1317" s="259">
        <v>450000</v>
      </c>
      <c r="F1317" s="239">
        <f t="shared" si="17"/>
        <v>12150000</v>
      </c>
      <c r="G1317" s="1"/>
      <c r="H1317" s="3"/>
    </row>
    <row r="1318" spans="1:19" x14ac:dyDescent="0.25">
      <c r="A1318" s="1"/>
      <c r="B1318" s="238" t="s">
        <v>568</v>
      </c>
      <c r="C1318" s="197">
        <v>3</v>
      </c>
      <c r="D1318" s="197" t="s">
        <v>21</v>
      </c>
      <c r="E1318" s="259">
        <v>1850000</v>
      </c>
      <c r="F1318" s="239">
        <f t="shared" si="17"/>
        <v>5550000</v>
      </c>
      <c r="G1318" s="1"/>
      <c r="H1318" s="3"/>
    </row>
    <row r="1319" spans="1:19" x14ac:dyDescent="0.25">
      <c r="A1319" s="1"/>
      <c r="B1319" s="213"/>
      <c r="C1319" s="217"/>
      <c r="D1319" s="197"/>
      <c r="E1319" s="231"/>
      <c r="F1319" s="252"/>
      <c r="G1319" s="1"/>
      <c r="H1319" s="3"/>
    </row>
    <row r="1320" spans="1:19" x14ac:dyDescent="0.25">
      <c r="A1320" s="1"/>
      <c r="B1320" s="1790" t="s">
        <v>26</v>
      </c>
      <c r="C1320" s="1790"/>
      <c r="D1320" s="1790"/>
      <c r="E1320" s="1790"/>
      <c r="F1320" s="215">
        <f>SUM(F1300:F1319)</f>
        <v>25930000</v>
      </c>
      <c r="G1320" s="1" t="s">
        <v>2570</v>
      </c>
      <c r="H1320" s="3"/>
      <c r="I1320" s="36"/>
      <c r="J1320" s="36"/>
      <c r="S1320" s="36">
        <f>F1320</f>
        <v>25930000</v>
      </c>
    </row>
    <row r="1321" spans="1:19" x14ac:dyDescent="0.25">
      <c r="A1321" s="1762" t="s">
        <v>549</v>
      </c>
      <c r="B1321" s="1762"/>
      <c r="C1321" s="188" t="s">
        <v>27</v>
      </c>
      <c r="D1321" s="1763" t="s">
        <v>1426</v>
      </c>
      <c r="E1321" s="1763"/>
      <c r="F1321" s="1763"/>
      <c r="G1321" s="188"/>
    </row>
    <row r="1322" spans="1:19" x14ac:dyDescent="0.25">
      <c r="A1322" s="1762" t="s">
        <v>28</v>
      </c>
      <c r="B1322" s="1762"/>
      <c r="C1322" s="188"/>
      <c r="D1322" s="1764" t="s">
        <v>2831</v>
      </c>
      <c r="E1322" s="1764"/>
      <c r="F1322" s="1764"/>
      <c r="G1322" s="188"/>
      <c r="H1322" s="36"/>
    </row>
    <row r="1323" spans="1:19" x14ac:dyDescent="0.25">
      <c r="A1323" s="186"/>
      <c r="B1323" s="187"/>
      <c r="C1323" s="188"/>
      <c r="D1323" s="189"/>
      <c r="E1323" s="218"/>
      <c r="F1323" s="218"/>
      <c r="G1323" s="188"/>
    </row>
    <row r="1324" spans="1:19" x14ac:dyDescent="0.25">
      <c r="A1324" s="186"/>
      <c r="B1324" s="187"/>
      <c r="C1324" s="188"/>
      <c r="D1324" s="189"/>
      <c r="E1324" s="218"/>
      <c r="F1324" s="218"/>
      <c r="G1324" s="188"/>
    </row>
    <row r="1325" spans="1:19" x14ac:dyDescent="0.25">
      <c r="A1325" s="1762"/>
      <c r="B1325" s="1762"/>
      <c r="C1325" s="188"/>
      <c r="D1325" s="189"/>
      <c r="E1325" s="1762"/>
      <c r="F1325" s="1762"/>
      <c r="G1325" s="188"/>
    </row>
    <row r="1326" spans="1:19" ht="14.25" customHeight="1" x14ac:dyDescent="0.25">
      <c r="A1326" s="1762" t="s">
        <v>29</v>
      </c>
      <c r="B1326" s="1762"/>
      <c r="C1326" s="188"/>
      <c r="D1326" s="1762" t="s">
        <v>2992</v>
      </c>
      <c r="E1326" s="1762"/>
      <c r="F1326" s="1762"/>
      <c r="G1326" s="188"/>
    </row>
    <row r="1327" spans="1:19" x14ac:dyDescent="0.25">
      <c r="A1327" s="1765" t="s">
        <v>0</v>
      </c>
      <c r="B1327" s="1765"/>
      <c r="C1327" s="1765"/>
      <c r="D1327" s="1765"/>
      <c r="E1327" s="1765"/>
      <c r="F1327" s="1765"/>
      <c r="G1327" s="185"/>
      <c r="H1327" s="3"/>
    </row>
    <row r="1328" spans="1:19" x14ac:dyDescent="0.25">
      <c r="A1328" s="1765" t="s">
        <v>1</v>
      </c>
      <c r="B1328" s="1765"/>
      <c r="C1328" s="1765"/>
      <c r="D1328" s="1765"/>
      <c r="E1328" s="1765"/>
      <c r="F1328" s="1765"/>
      <c r="G1328" s="185"/>
      <c r="H1328" s="3"/>
    </row>
    <row r="1329" spans="1:8" x14ac:dyDescent="0.25">
      <c r="A1329" s="1765" t="s">
        <v>1769</v>
      </c>
      <c r="B1329" s="1765"/>
      <c r="C1329" s="1765"/>
      <c r="D1329" s="1765"/>
      <c r="E1329" s="1765"/>
      <c r="F1329" s="1765"/>
      <c r="G1329" s="185"/>
      <c r="H1329" s="3"/>
    </row>
    <row r="1330" spans="1:8" x14ac:dyDescent="0.25">
      <c r="A1330" s="184"/>
      <c r="B1330" s="184"/>
      <c r="C1330" s="184"/>
      <c r="D1330" s="184"/>
      <c r="E1330" s="184"/>
      <c r="F1330" s="184"/>
      <c r="G1330" s="185"/>
      <c r="H1330" s="3"/>
    </row>
    <row r="1331" spans="1:8" x14ac:dyDescent="0.25">
      <c r="A1331" s="263" t="s">
        <v>261</v>
      </c>
      <c r="B1331" s="225" t="s">
        <v>57</v>
      </c>
      <c r="C1331" s="263"/>
      <c r="D1331" s="263"/>
      <c r="E1331" s="227" t="s">
        <v>6</v>
      </c>
      <c r="F1331" s="191"/>
      <c r="H1331" s="3"/>
    </row>
    <row r="1332" spans="1:8" ht="38.25" x14ac:dyDescent="0.25">
      <c r="A1332" s="263" t="s">
        <v>262</v>
      </c>
      <c r="B1332" s="225" t="s">
        <v>361</v>
      </c>
      <c r="C1332" s="263"/>
      <c r="D1332" s="263"/>
      <c r="E1332" s="195" t="s">
        <v>9</v>
      </c>
      <c r="F1332" s="196"/>
      <c r="H1332" s="3"/>
    </row>
    <row r="1333" spans="1:8" ht="25.5" x14ac:dyDescent="0.25">
      <c r="A1333" s="265" t="s">
        <v>263</v>
      </c>
      <c r="B1333" s="265" t="s">
        <v>1856</v>
      </c>
      <c r="C1333" s="265"/>
      <c r="D1333" s="265"/>
      <c r="E1333" s="265"/>
      <c r="F1333" s="265"/>
      <c r="H1333" s="3"/>
    </row>
    <row r="1334" spans="1:8" x14ac:dyDescent="0.25">
      <c r="A1334" s="226" t="s">
        <v>60</v>
      </c>
      <c r="B1334" s="226" t="s">
        <v>61</v>
      </c>
      <c r="C1334" s="226"/>
      <c r="D1334" s="188"/>
      <c r="E1334" s="188"/>
      <c r="F1334" s="188"/>
      <c r="H1334" s="3"/>
    </row>
    <row r="1335" spans="1:8" x14ac:dyDescent="0.25">
      <c r="A1335" s="226" t="s">
        <v>62</v>
      </c>
      <c r="B1335" s="226" t="s">
        <v>63</v>
      </c>
      <c r="C1335" s="226"/>
      <c r="D1335" s="1763"/>
      <c r="E1335" s="1763"/>
      <c r="F1335" s="188"/>
      <c r="H1335" s="3"/>
    </row>
    <row r="1336" spans="1:8" x14ac:dyDescent="0.25">
      <c r="A1336" s="187"/>
      <c r="B1336" s="187"/>
      <c r="C1336" s="187"/>
      <c r="D1336" s="187"/>
      <c r="E1336" s="187"/>
      <c r="F1336" s="187"/>
      <c r="H1336" s="3"/>
    </row>
    <row r="1337" spans="1:8" ht="24" x14ac:dyDescent="0.25">
      <c r="A1337" s="198" t="s">
        <v>265</v>
      </c>
      <c r="B1337" s="198" t="s">
        <v>11</v>
      </c>
      <c r="C1337" s="1766" t="s">
        <v>12</v>
      </c>
      <c r="D1337" s="1766"/>
      <c r="E1337" s="267" t="s">
        <v>13</v>
      </c>
      <c r="F1337" s="268" t="s">
        <v>14</v>
      </c>
      <c r="G1337" s="34" t="s">
        <v>266</v>
      </c>
      <c r="H1337" s="3"/>
    </row>
    <row r="1338" spans="1:8" x14ac:dyDescent="0.25">
      <c r="A1338" s="198">
        <v>1</v>
      </c>
      <c r="B1338" s="198">
        <v>2</v>
      </c>
      <c r="C1338" s="1767">
        <v>3</v>
      </c>
      <c r="D1338" s="1768"/>
      <c r="E1338" s="269">
        <v>4</v>
      </c>
      <c r="F1338" s="268">
        <v>5</v>
      </c>
      <c r="G1338" s="35">
        <v>6</v>
      </c>
      <c r="H1338" s="3"/>
    </row>
    <row r="1339" spans="1:8" x14ac:dyDescent="0.25">
      <c r="A1339" s="203" t="s">
        <v>555</v>
      </c>
      <c r="B1339" s="204" t="s">
        <v>287</v>
      </c>
      <c r="C1339" s="205"/>
      <c r="D1339" s="206"/>
      <c r="E1339" s="197"/>
      <c r="F1339" s="199"/>
      <c r="G1339" s="1"/>
      <c r="H1339" s="3"/>
    </row>
    <row r="1340" spans="1:8" x14ac:dyDescent="0.25">
      <c r="A1340" s="203" t="s">
        <v>556</v>
      </c>
      <c r="B1340" s="204" t="s">
        <v>86</v>
      </c>
      <c r="C1340" s="205"/>
      <c r="D1340" s="206"/>
      <c r="E1340" s="197"/>
      <c r="F1340" s="199"/>
      <c r="G1340" s="1"/>
      <c r="H1340" s="3"/>
    </row>
    <row r="1341" spans="1:8" ht="31.5" customHeight="1" x14ac:dyDescent="0.25">
      <c r="A1341" s="203" t="s">
        <v>557</v>
      </c>
      <c r="B1341" s="204" t="s">
        <v>290</v>
      </c>
      <c r="C1341" s="205"/>
      <c r="D1341" s="206"/>
      <c r="E1341" s="259"/>
      <c r="F1341" s="239"/>
      <c r="G1341" s="1"/>
      <c r="H1341" s="3"/>
    </row>
    <row r="1342" spans="1:8" x14ac:dyDescent="0.25">
      <c r="A1342" s="203"/>
      <c r="B1342" s="204" t="s">
        <v>1857</v>
      </c>
      <c r="C1342" s="205">
        <v>4</v>
      </c>
      <c r="D1342" s="206" t="s">
        <v>110</v>
      </c>
      <c r="E1342" s="259">
        <v>450000</v>
      </c>
      <c r="F1342" s="239">
        <f>E1342*C1342</f>
        <v>1800000</v>
      </c>
      <c r="G1342" s="1"/>
      <c r="H1342" s="3"/>
    </row>
    <row r="1343" spans="1:8" x14ac:dyDescent="0.25">
      <c r="A1343" s="203"/>
      <c r="B1343" s="204" t="s">
        <v>1858</v>
      </c>
      <c r="C1343" s="205">
        <v>1</v>
      </c>
      <c r="D1343" s="206" t="s">
        <v>110</v>
      </c>
      <c r="E1343" s="259">
        <v>90000</v>
      </c>
      <c r="F1343" s="239">
        <f>E1343*C1343</f>
        <v>90000</v>
      </c>
      <c r="G1343" s="1"/>
      <c r="H1343" s="3"/>
    </row>
    <row r="1344" spans="1:8" ht="36" x14ac:dyDescent="0.25">
      <c r="A1344" s="203" t="s">
        <v>559</v>
      </c>
      <c r="B1344" s="204" t="s">
        <v>293</v>
      </c>
      <c r="C1344" s="205"/>
      <c r="D1344" s="206"/>
      <c r="E1344" s="259"/>
      <c r="F1344" s="239"/>
      <c r="G1344" s="1"/>
      <c r="H1344" s="3"/>
    </row>
    <row r="1345" spans="1:22" x14ac:dyDescent="0.25">
      <c r="A1345" s="203"/>
      <c r="B1345" s="204" t="s">
        <v>560</v>
      </c>
      <c r="C1345" s="205">
        <f>12*11</f>
        <v>132</v>
      </c>
      <c r="D1345" s="206" t="s">
        <v>279</v>
      </c>
      <c r="E1345" s="259">
        <v>15000</v>
      </c>
      <c r="F1345" s="259">
        <f>E1345*C1345</f>
        <v>1980000</v>
      </c>
      <c r="G1345" s="1"/>
      <c r="H1345" s="3"/>
    </row>
    <row r="1346" spans="1:22" ht="24" x14ac:dyDescent="0.25">
      <c r="A1346" s="203"/>
      <c r="B1346" s="204" t="s">
        <v>2927</v>
      </c>
      <c r="C1346" s="205">
        <f>9*70</f>
        <v>630</v>
      </c>
      <c r="D1346" s="206" t="s">
        <v>279</v>
      </c>
      <c r="E1346" s="259">
        <v>15000</v>
      </c>
      <c r="F1346" s="259">
        <f>E1346*C1346</f>
        <v>9450000</v>
      </c>
      <c r="G1346" s="1"/>
      <c r="H1346" s="3"/>
    </row>
    <row r="1347" spans="1:22" x14ac:dyDescent="0.25">
      <c r="A1347" s="203" t="s">
        <v>561</v>
      </c>
      <c r="B1347" s="204" t="s">
        <v>304</v>
      </c>
      <c r="C1347" s="205"/>
      <c r="D1347" s="206"/>
      <c r="E1347" s="259"/>
      <c r="F1347" s="239"/>
      <c r="G1347" s="1"/>
      <c r="H1347" s="3"/>
    </row>
    <row r="1348" spans="1:22" ht="24" x14ac:dyDescent="0.25">
      <c r="A1348" s="203" t="s">
        <v>562</v>
      </c>
      <c r="B1348" s="204" t="s">
        <v>563</v>
      </c>
      <c r="C1348" s="205"/>
      <c r="D1348" s="206"/>
      <c r="E1348" s="259"/>
      <c r="F1348" s="239"/>
      <c r="G1348" s="1"/>
      <c r="H1348" s="3"/>
    </row>
    <row r="1349" spans="1:22" x14ac:dyDescent="0.25">
      <c r="A1349" s="217"/>
      <c r="B1349" s="204" t="s">
        <v>566</v>
      </c>
      <c r="C1349" s="205"/>
      <c r="D1349" s="206"/>
      <c r="E1349" s="259"/>
      <c r="F1349" s="239"/>
      <c r="G1349" s="1"/>
      <c r="H1349" s="3"/>
    </row>
    <row r="1350" spans="1:22" x14ac:dyDescent="0.25">
      <c r="A1350" s="243"/>
      <c r="B1350" s="204" t="s">
        <v>1859</v>
      </c>
      <c r="C1350" s="205">
        <v>3</v>
      </c>
      <c r="D1350" s="206" t="s">
        <v>21</v>
      </c>
      <c r="E1350" s="259">
        <v>600000</v>
      </c>
      <c r="F1350" s="239">
        <f>E1350*C1350</f>
        <v>1800000</v>
      </c>
      <c r="G1350" s="1"/>
      <c r="H1350" s="3"/>
    </row>
    <row r="1351" spans="1:22" x14ac:dyDescent="0.25">
      <c r="A1351" s="217"/>
      <c r="B1351" s="204" t="s">
        <v>1860</v>
      </c>
      <c r="C1351" s="205">
        <v>3</v>
      </c>
      <c r="D1351" s="206" t="s">
        <v>21</v>
      </c>
      <c r="E1351" s="259">
        <v>500000</v>
      </c>
      <c r="F1351" s="239">
        <f>E1351*C1351</f>
        <v>1500000</v>
      </c>
      <c r="G1351" s="1"/>
      <c r="H1351" s="3"/>
    </row>
    <row r="1352" spans="1:22" x14ac:dyDescent="0.25">
      <c r="A1352" s="243"/>
      <c r="B1352" s="204" t="s">
        <v>1861</v>
      </c>
      <c r="C1352" s="205">
        <v>27</v>
      </c>
      <c r="D1352" s="206" t="s">
        <v>21</v>
      </c>
      <c r="E1352" s="259">
        <v>450000</v>
      </c>
      <c r="F1352" s="239">
        <f>E1352*C1352</f>
        <v>12150000</v>
      </c>
      <c r="G1352" s="1"/>
      <c r="H1352" s="3"/>
    </row>
    <row r="1353" spans="1:22" x14ac:dyDescent="0.25">
      <c r="A1353" s="1"/>
      <c r="B1353" s="213"/>
      <c r="C1353" s="217"/>
      <c r="D1353" s="197"/>
      <c r="E1353" s="231"/>
      <c r="F1353" s="252"/>
      <c r="G1353" s="1"/>
      <c r="H1353" s="3"/>
    </row>
    <row r="1354" spans="1:22" ht="30" x14ac:dyDescent="0.25">
      <c r="A1354" s="1"/>
      <c r="B1354" s="1790" t="s">
        <v>26</v>
      </c>
      <c r="C1354" s="1790"/>
      <c r="D1354" s="1790"/>
      <c r="E1354" s="1790"/>
      <c r="F1354" s="215">
        <f>SUM(F1339:F1353)</f>
        <v>28770000</v>
      </c>
      <c r="G1354" s="4" t="s">
        <v>2573</v>
      </c>
      <c r="H1354" s="3"/>
      <c r="J1354" s="36"/>
      <c r="S1354" s="36"/>
      <c r="V1354" s="36">
        <f>F1354</f>
        <v>28770000</v>
      </c>
    </row>
    <row r="1355" spans="1:22" x14ac:dyDescent="0.25">
      <c r="A1355" s="1762" t="s">
        <v>549</v>
      </c>
      <c r="B1355" s="1762"/>
      <c r="C1355" s="188" t="s">
        <v>27</v>
      </c>
      <c r="D1355" s="1763" t="s">
        <v>1426</v>
      </c>
      <c r="E1355" s="1763"/>
      <c r="F1355" s="1763"/>
      <c r="G1355" s="188"/>
    </row>
    <row r="1356" spans="1:22" x14ac:dyDescent="0.25">
      <c r="A1356" s="1762" t="s">
        <v>28</v>
      </c>
      <c r="B1356" s="1762"/>
      <c r="C1356" s="188"/>
      <c r="D1356" s="1764" t="s">
        <v>2831</v>
      </c>
      <c r="E1356" s="1764"/>
      <c r="F1356" s="1764"/>
      <c r="G1356" s="188"/>
      <c r="H1356" s="36"/>
    </row>
    <row r="1357" spans="1:22" x14ac:dyDescent="0.25">
      <c r="A1357" s="186"/>
      <c r="B1357" s="187"/>
      <c r="C1357" s="188"/>
      <c r="D1357" s="189"/>
      <c r="E1357" s="218"/>
      <c r="F1357" s="218"/>
      <c r="G1357" s="188"/>
    </row>
    <row r="1358" spans="1:22" x14ac:dyDescent="0.25">
      <c r="A1358" s="186"/>
      <c r="B1358" s="187"/>
      <c r="C1358" s="188"/>
      <c r="D1358" s="189"/>
      <c r="E1358" s="218"/>
      <c r="F1358" s="218"/>
      <c r="G1358" s="188"/>
    </row>
    <row r="1359" spans="1:22" x14ac:dyDescent="0.25">
      <c r="A1359" s="1762"/>
      <c r="B1359" s="1762"/>
      <c r="C1359" s="188"/>
      <c r="D1359" s="189"/>
      <c r="E1359" s="1762"/>
      <c r="F1359" s="1762"/>
      <c r="G1359" s="188"/>
    </row>
    <row r="1360" spans="1:22" ht="14.25" customHeight="1" x14ac:dyDescent="0.25">
      <c r="A1360" s="1762" t="s">
        <v>29</v>
      </c>
      <c r="B1360" s="1762"/>
      <c r="C1360" s="188"/>
      <c r="D1360" s="1762" t="s">
        <v>2992</v>
      </c>
      <c r="E1360" s="1762"/>
      <c r="F1360" s="1762"/>
      <c r="G1360" s="188"/>
    </row>
    <row r="1363" spans="1:7" x14ac:dyDescent="0.25">
      <c r="A1363" s="1765" t="s">
        <v>0</v>
      </c>
      <c r="B1363" s="1765"/>
      <c r="C1363" s="1765"/>
      <c r="D1363" s="1765"/>
      <c r="E1363" s="1765"/>
      <c r="F1363" s="1765"/>
      <c r="G1363" s="1765"/>
    </row>
    <row r="1364" spans="1:7" x14ac:dyDescent="0.25">
      <c r="A1364" s="1765" t="s">
        <v>1</v>
      </c>
      <c r="B1364" s="1765"/>
      <c r="C1364" s="1765"/>
      <c r="D1364" s="1765"/>
      <c r="E1364" s="1765"/>
      <c r="F1364" s="1765"/>
      <c r="G1364" s="1765"/>
    </row>
    <row r="1365" spans="1:7" x14ac:dyDescent="0.25">
      <c r="A1365" s="1765" t="s">
        <v>1425</v>
      </c>
      <c r="B1365" s="1765"/>
      <c r="C1365" s="1765"/>
      <c r="D1365" s="1765"/>
      <c r="E1365" s="1765"/>
      <c r="F1365" s="1765"/>
      <c r="G1365" s="1765"/>
    </row>
    <row r="1366" spans="1:7" x14ac:dyDescent="0.25">
      <c r="A1366" s="184"/>
      <c r="B1366" s="184"/>
      <c r="C1366" s="184"/>
      <c r="D1366" s="184"/>
      <c r="E1366" s="184"/>
      <c r="F1366" s="184"/>
      <c r="G1366" s="184"/>
    </row>
    <row r="1367" spans="1:7" x14ac:dyDescent="0.25">
      <c r="A1367" s="263" t="s">
        <v>261</v>
      </c>
      <c r="B1367" s="225" t="s">
        <v>3</v>
      </c>
      <c r="C1367" s="263"/>
      <c r="D1367" s="263"/>
      <c r="E1367" s="227" t="s">
        <v>6</v>
      </c>
      <c r="F1367" s="191"/>
    </row>
    <row r="1368" spans="1:7" ht="38.25" x14ac:dyDescent="0.25">
      <c r="A1368" s="263" t="s">
        <v>262</v>
      </c>
      <c r="B1368" s="225" t="s">
        <v>385</v>
      </c>
      <c r="C1368" s="263"/>
      <c r="D1368" s="263"/>
      <c r="E1368" s="195" t="s">
        <v>9</v>
      </c>
      <c r="F1368" s="196"/>
    </row>
    <row r="1369" spans="1:7" ht="25.5" x14ac:dyDescent="0.25">
      <c r="A1369" s="265" t="s">
        <v>263</v>
      </c>
      <c r="B1369" s="265" t="s">
        <v>2181</v>
      </c>
      <c r="C1369" s="265"/>
      <c r="D1369" s="265"/>
      <c r="E1369" s="265"/>
      <c r="F1369" s="265"/>
    </row>
    <row r="1370" spans="1:7" x14ac:dyDescent="0.25">
      <c r="A1370" s="226" t="s">
        <v>60</v>
      </c>
      <c r="B1370" s="226" t="s">
        <v>61</v>
      </c>
      <c r="C1370" s="226"/>
      <c r="D1370" s="188"/>
      <c r="E1370" s="188"/>
      <c r="F1370" s="188"/>
    </row>
    <row r="1371" spans="1:7" x14ac:dyDescent="0.25">
      <c r="A1371" s="226" t="s">
        <v>62</v>
      </c>
      <c r="B1371" s="226" t="s">
        <v>63</v>
      </c>
      <c r="C1371" s="226"/>
      <c r="D1371" s="1763"/>
      <c r="E1371" s="1763"/>
      <c r="F1371" s="188"/>
    </row>
    <row r="1372" spans="1:7" x14ac:dyDescent="0.25">
      <c r="A1372" s="187"/>
      <c r="B1372" s="187"/>
      <c r="C1372" s="187"/>
      <c r="D1372" s="187"/>
      <c r="E1372" s="187"/>
      <c r="F1372" s="187"/>
    </row>
    <row r="1373" spans="1:7" ht="24" x14ac:dyDescent="0.25">
      <c r="A1373" s="198" t="s">
        <v>265</v>
      </c>
      <c r="B1373" s="198" t="s">
        <v>11</v>
      </c>
      <c r="C1373" s="1766" t="s">
        <v>12</v>
      </c>
      <c r="D1373" s="1766"/>
      <c r="E1373" s="267" t="s">
        <v>13</v>
      </c>
      <c r="F1373" s="268" t="s">
        <v>14</v>
      </c>
      <c r="G1373" s="34" t="s">
        <v>266</v>
      </c>
    </row>
    <row r="1374" spans="1:7" x14ac:dyDescent="0.25">
      <c r="A1374" s="198">
        <v>1</v>
      </c>
      <c r="B1374" s="198">
        <v>2</v>
      </c>
      <c r="C1374" s="1767">
        <v>3</v>
      </c>
      <c r="D1374" s="1768"/>
      <c r="E1374" s="269">
        <v>4</v>
      </c>
      <c r="F1374" s="268">
        <v>5</v>
      </c>
      <c r="G1374" s="35">
        <v>6</v>
      </c>
    </row>
    <row r="1375" spans="1:7" x14ac:dyDescent="0.25">
      <c r="A1375" s="203" t="s">
        <v>401</v>
      </c>
      <c r="B1375" s="204" t="s">
        <v>84</v>
      </c>
      <c r="C1375" s="205"/>
      <c r="D1375" s="206"/>
      <c r="E1375" s="197"/>
      <c r="F1375" s="199"/>
      <c r="G1375" s="222"/>
    </row>
    <row r="1376" spans="1:7" x14ac:dyDescent="0.25">
      <c r="A1376" s="203" t="s">
        <v>402</v>
      </c>
      <c r="B1376" s="204" t="s">
        <v>86</v>
      </c>
      <c r="C1376" s="205"/>
      <c r="D1376" s="206"/>
      <c r="E1376" s="197"/>
      <c r="F1376" s="199"/>
      <c r="G1376" s="222"/>
    </row>
    <row r="1377" spans="1:11" ht="24" x14ac:dyDescent="0.25">
      <c r="A1377" s="203" t="s">
        <v>403</v>
      </c>
      <c r="B1377" s="204" t="s">
        <v>290</v>
      </c>
      <c r="C1377" s="205"/>
      <c r="D1377" s="206"/>
      <c r="E1377" s="259"/>
      <c r="F1377" s="239"/>
      <c r="G1377" s="222"/>
    </row>
    <row r="1378" spans="1:11" x14ac:dyDescent="0.25">
      <c r="A1378" s="203"/>
      <c r="B1378" s="204" t="s">
        <v>291</v>
      </c>
      <c r="C1378" s="205">
        <v>300</v>
      </c>
      <c r="D1378" s="206" t="s">
        <v>276</v>
      </c>
      <c r="E1378" s="259">
        <v>250</v>
      </c>
      <c r="F1378" s="239">
        <f>E1378*C1378</f>
        <v>75000</v>
      </c>
      <c r="G1378" s="222"/>
    </row>
    <row r="1379" spans="1:11" x14ac:dyDescent="0.25">
      <c r="A1379" s="203"/>
      <c r="B1379" s="204" t="s">
        <v>412</v>
      </c>
      <c r="C1379" s="205">
        <v>8</v>
      </c>
      <c r="D1379" s="206" t="s">
        <v>110</v>
      </c>
      <c r="E1379" s="259">
        <v>300000</v>
      </c>
      <c r="F1379" s="239">
        <f>E1379*C1379</f>
        <v>2400000</v>
      </c>
      <c r="G1379" s="222"/>
    </row>
    <row r="1380" spans="1:11" x14ac:dyDescent="0.25">
      <c r="A1380" s="203"/>
      <c r="B1380" s="204"/>
      <c r="C1380" s="205"/>
      <c r="D1380" s="206"/>
      <c r="E1380" s="259"/>
      <c r="F1380" s="239"/>
      <c r="G1380" s="222"/>
    </row>
    <row r="1381" spans="1:11" ht="24.75" x14ac:dyDescent="0.25">
      <c r="A1381" s="255" t="s">
        <v>404</v>
      </c>
      <c r="B1381" s="213" t="s">
        <v>405</v>
      </c>
      <c r="C1381" s="214"/>
      <c r="D1381" s="244"/>
      <c r="E1381" s="215"/>
      <c r="F1381" s="215"/>
      <c r="G1381" s="222"/>
    </row>
    <row r="1382" spans="1:11" x14ac:dyDescent="0.25">
      <c r="A1382" s="217"/>
      <c r="B1382" s="213" t="s">
        <v>406</v>
      </c>
      <c r="C1382" s="214">
        <v>180</v>
      </c>
      <c r="D1382" s="244" t="s">
        <v>407</v>
      </c>
      <c r="E1382" s="215">
        <v>15000</v>
      </c>
      <c r="F1382" s="215">
        <f>E1382*C1382</f>
        <v>2700000</v>
      </c>
      <c r="G1382" s="222"/>
    </row>
    <row r="1383" spans="1:11" x14ac:dyDescent="0.25">
      <c r="A1383" s="217"/>
      <c r="B1383" s="217"/>
      <c r="C1383" s="214"/>
      <c r="D1383" s="244"/>
      <c r="E1383" s="215"/>
      <c r="F1383" s="215"/>
      <c r="G1383" s="222"/>
    </row>
    <row r="1384" spans="1:11" x14ac:dyDescent="0.25">
      <c r="A1384" s="217"/>
      <c r="B1384" s="1792" t="s">
        <v>26</v>
      </c>
      <c r="C1384" s="1792"/>
      <c r="D1384" s="1792"/>
      <c r="E1384" s="1793"/>
      <c r="F1384" s="215">
        <f>SUM(F1377:F1383)</f>
        <v>5175000</v>
      </c>
      <c r="G1384" s="222" t="s">
        <v>1409</v>
      </c>
      <c r="J1384" s="36">
        <f>F1384</f>
        <v>5175000</v>
      </c>
      <c r="K1384" s="36"/>
    </row>
    <row r="1385" spans="1:11" x14ac:dyDescent="0.25">
      <c r="A1385" s="188"/>
      <c r="B1385" s="188"/>
      <c r="C1385" s="188"/>
      <c r="D1385" s="188"/>
      <c r="E1385" s="188"/>
      <c r="F1385" s="188"/>
      <c r="G1385" s="188"/>
    </row>
    <row r="1386" spans="1:11" x14ac:dyDescent="0.25">
      <c r="A1386" s="1762" t="s">
        <v>549</v>
      </c>
      <c r="B1386" s="1762"/>
      <c r="C1386" s="188" t="s">
        <v>27</v>
      </c>
      <c r="D1386" s="1763" t="s">
        <v>1426</v>
      </c>
      <c r="E1386" s="1763"/>
      <c r="F1386" s="1763"/>
      <c r="G1386" s="188"/>
    </row>
    <row r="1387" spans="1:11" x14ac:dyDescent="0.25">
      <c r="A1387" s="1762" t="s">
        <v>28</v>
      </c>
      <c r="B1387" s="1762"/>
      <c r="C1387" s="188"/>
      <c r="D1387" s="1764" t="s">
        <v>2831</v>
      </c>
      <c r="E1387" s="1764"/>
      <c r="F1387" s="1764"/>
      <c r="G1387" s="188"/>
      <c r="H1387" s="36"/>
    </row>
    <row r="1388" spans="1:11" x14ac:dyDescent="0.25">
      <c r="A1388" s="186"/>
      <c r="B1388" s="187"/>
      <c r="C1388" s="188"/>
      <c r="D1388" s="189"/>
      <c r="E1388" s="218"/>
      <c r="F1388" s="218"/>
      <c r="G1388" s="188"/>
    </row>
    <row r="1389" spans="1:11" x14ac:dyDescent="0.25">
      <c r="A1389" s="186"/>
      <c r="B1389" s="187"/>
      <c r="C1389" s="188"/>
      <c r="D1389" s="189"/>
      <c r="E1389" s="218"/>
      <c r="F1389" s="218"/>
      <c r="G1389" s="188"/>
    </row>
    <row r="1390" spans="1:11" x14ac:dyDescent="0.25">
      <c r="A1390" s="1762"/>
      <c r="B1390" s="1762"/>
      <c r="C1390" s="188"/>
      <c r="D1390" s="189"/>
      <c r="E1390" s="1762"/>
      <c r="F1390" s="1762"/>
      <c r="G1390" s="188"/>
    </row>
    <row r="1391" spans="1:11" ht="14.25" customHeight="1" x14ac:dyDescent="0.25">
      <c r="A1391" s="1762" t="s">
        <v>29</v>
      </c>
      <c r="B1391" s="1762"/>
      <c r="C1391" s="188"/>
      <c r="D1391" s="1762" t="s">
        <v>2992</v>
      </c>
      <c r="E1391" s="1762"/>
      <c r="F1391" s="1762"/>
      <c r="G1391" s="188"/>
    </row>
    <row r="1393" spans="1:7" ht="16.5" customHeight="1" x14ac:dyDescent="0.25"/>
    <row r="1394" spans="1:7" x14ac:dyDescent="0.25">
      <c r="A1394" s="1765" t="s">
        <v>0</v>
      </c>
      <c r="B1394" s="1765"/>
      <c r="C1394" s="1765"/>
      <c r="D1394" s="1765"/>
      <c r="E1394" s="1765"/>
      <c r="F1394" s="1765"/>
      <c r="G1394" s="1765"/>
    </row>
    <row r="1395" spans="1:7" x14ac:dyDescent="0.25">
      <c r="A1395" s="1765" t="s">
        <v>1</v>
      </c>
      <c r="B1395" s="1765"/>
      <c r="C1395" s="1765"/>
      <c r="D1395" s="1765"/>
      <c r="E1395" s="1765"/>
      <c r="F1395" s="1765"/>
      <c r="G1395" s="1765"/>
    </row>
    <row r="1396" spans="1:7" x14ac:dyDescent="0.25">
      <c r="A1396" s="1765" t="s">
        <v>1425</v>
      </c>
      <c r="B1396" s="1765"/>
      <c r="C1396" s="1765"/>
      <c r="D1396" s="1765"/>
      <c r="E1396" s="1765"/>
      <c r="F1396" s="1765"/>
      <c r="G1396" s="1765"/>
    </row>
    <row r="1397" spans="1:7" x14ac:dyDescent="0.25">
      <c r="A1397" s="184"/>
      <c r="B1397" s="184"/>
      <c r="C1397" s="184"/>
      <c r="D1397" s="184"/>
      <c r="E1397" s="184"/>
      <c r="F1397" s="184"/>
      <c r="G1397" s="184"/>
    </row>
    <row r="1398" spans="1:7" x14ac:dyDescent="0.25">
      <c r="A1398" s="263" t="s">
        <v>261</v>
      </c>
      <c r="B1398" s="225" t="s">
        <v>3</v>
      </c>
      <c r="C1398" s="263"/>
      <c r="D1398" s="263"/>
      <c r="E1398" s="227" t="s">
        <v>6</v>
      </c>
      <c r="F1398" s="191"/>
    </row>
    <row r="1399" spans="1:7" ht="38.25" x14ac:dyDescent="0.25">
      <c r="A1399" s="263" t="s">
        <v>262</v>
      </c>
      <c r="B1399" s="225" t="s">
        <v>385</v>
      </c>
      <c r="C1399" s="263"/>
      <c r="D1399" s="263"/>
      <c r="E1399" s="195" t="s">
        <v>9</v>
      </c>
      <c r="F1399" s="196"/>
    </row>
    <row r="1400" spans="1:7" ht="25.5" x14ac:dyDescent="0.25">
      <c r="A1400" s="265" t="s">
        <v>263</v>
      </c>
      <c r="B1400" s="265" t="s">
        <v>2653</v>
      </c>
      <c r="C1400" s="265"/>
      <c r="D1400" s="265"/>
      <c r="E1400" s="265"/>
      <c r="F1400" s="265"/>
    </row>
    <row r="1401" spans="1:7" x14ac:dyDescent="0.25">
      <c r="A1401" s="226" t="s">
        <v>60</v>
      </c>
      <c r="B1401" s="226" t="s">
        <v>61</v>
      </c>
      <c r="C1401" s="226"/>
      <c r="D1401" s="188"/>
      <c r="E1401" s="188"/>
      <c r="F1401" s="188"/>
    </row>
    <row r="1402" spans="1:7" x14ac:dyDescent="0.25">
      <c r="A1402" s="226" t="s">
        <v>62</v>
      </c>
      <c r="B1402" s="226" t="s">
        <v>63</v>
      </c>
      <c r="C1402" s="226"/>
      <c r="D1402" s="1763"/>
      <c r="E1402" s="1763"/>
      <c r="F1402" s="188"/>
    </row>
    <row r="1403" spans="1:7" x14ac:dyDescent="0.25">
      <c r="A1403" s="187"/>
      <c r="B1403" s="187"/>
      <c r="C1403" s="187"/>
      <c r="D1403" s="187"/>
      <c r="E1403" s="187"/>
      <c r="F1403" s="187"/>
    </row>
    <row r="1404" spans="1:7" ht="24" x14ac:dyDescent="0.25">
      <c r="A1404" s="198" t="s">
        <v>265</v>
      </c>
      <c r="B1404" s="198" t="s">
        <v>11</v>
      </c>
      <c r="C1404" s="1766" t="s">
        <v>12</v>
      </c>
      <c r="D1404" s="1766"/>
      <c r="E1404" s="267" t="s">
        <v>13</v>
      </c>
      <c r="F1404" s="268" t="s">
        <v>14</v>
      </c>
      <c r="G1404" s="34" t="s">
        <v>266</v>
      </c>
    </row>
    <row r="1405" spans="1:7" x14ac:dyDescent="0.25">
      <c r="A1405" s="198">
        <v>1</v>
      </c>
      <c r="B1405" s="198">
        <v>2</v>
      </c>
      <c r="C1405" s="1767">
        <v>3</v>
      </c>
      <c r="D1405" s="1768"/>
      <c r="E1405" s="269">
        <v>4</v>
      </c>
      <c r="F1405" s="268">
        <v>5</v>
      </c>
      <c r="G1405" s="35">
        <v>6</v>
      </c>
    </row>
    <row r="1406" spans="1:7" x14ac:dyDescent="0.25">
      <c r="A1406" s="203" t="s">
        <v>401</v>
      </c>
      <c r="B1406" s="204" t="s">
        <v>84</v>
      </c>
      <c r="C1406" s="205"/>
      <c r="D1406" s="206"/>
      <c r="E1406" s="197"/>
      <c r="F1406" s="199"/>
      <c r="G1406" s="222"/>
    </row>
    <row r="1407" spans="1:7" x14ac:dyDescent="0.25">
      <c r="A1407" s="203" t="s">
        <v>402</v>
      </c>
      <c r="B1407" s="204" t="s">
        <v>86</v>
      </c>
      <c r="C1407" s="205"/>
      <c r="D1407" s="206"/>
      <c r="E1407" s="197"/>
      <c r="F1407" s="199"/>
      <c r="G1407" s="222"/>
    </row>
    <row r="1408" spans="1:7" ht="24" x14ac:dyDescent="0.25">
      <c r="A1408" s="203" t="s">
        <v>403</v>
      </c>
      <c r="B1408" s="204" t="s">
        <v>290</v>
      </c>
      <c r="C1408" s="205"/>
      <c r="D1408" s="206"/>
      <c r="E1408" s="259"/>
      <c r="F1408" s="239"/>
      <c r="G1408" s="222"/>
    </row>
    <row r="1409" spans="1:10" x14ac:dyDescent="0.25">
      <c r="A1409" s="203"/>
      <c r="B1409" s="204" t="s">
        <v>408</v>
      </c>
      <c r="C1409" s="205">
        <v>500</v>
      </c>
      <c r="D1409" s="206" t="s">
        <v>276</v>
      </c>
      <c r="E1409" s="259">
        <v>250</v>
      </c>
      <c r="F1409" s="239">
        <f>E1409*C1409</f>
        <v>125000</v>
      </c>
      <c r="G1409" s="222"/>
    </row>
    <row r="1410" spans="1:10" x14ac:dyDescent="0.25">
      <c r="A1410" s="203"/>
      <c r="B1410" s="204" t="s">
        <v>414</v>
      </c>
      <c r="C1410" s="205">
        <v>12</v>
      </c>
      <c r="D1410" s="206" t="s">
        <v>110</v>
      </c>
      <c r="E1410" s="259">
        <v>300000</v>
      </c>
      <c r="F1410" s="239">
        <f>E1410*C1410</f>
        <v>3600000</v>
      </c>
      <c r="G1410" s="222"/>
    </row>
    <row r="1411" spans="1:10" x14ac:dyDescent="0.25">
      <c r="A1411" s="203"/>
      <c r="B1411" s="204"/>
      <c r="C1411" s="205"/>
      <c r="D1411" s="206"/>
      <c r="E1411" s="259"/>
      <c r="F1411" s="239"/>
      <c r="G1411" s="222"/>
    </row>
    <row r="1412" spans="1:10" ht="24.75" x14ac:dyDescent="0.25">
      <c r="A1412" s="255" t="s">
        <v>404</v>
      </c>
      <c r="B1412" s="213" t="s">
        <v>405</v>
      </c>
      <c r="C1412" s="214"/>
      <c r="D1412" s="244"/>
      <c r="E1412" s="215"/>
      <c r="F1412" s="215"/>
      <c r="G1412" s="222"/>
    </row>
    <row r="1413" spans="1:10" x14ac:dyDescent="0.25">
      <c r="A1413" s="217"/>
      <c r="B1413" s="213" t="s">
        <v>409</v>
      </c>
      <c r="C1413" s="214">
        <f>18*4</f>
        <v>72</v>
      </c>
      <c r="D1413" s="244" t="s">
        <v>279</v>
      </c>
      <c r="E1413" s="215">
        <v>15000</v>
      </c>
      <c r="F1413" s="215">
        <f>E1413*C1413</f>
        <v>1080000</v>
      </c>
      <c r="G1413" s="222"/>
    </row>
    <row r="1414" spans="1:10" x14ac:dyDescent="0.25">
      <c r="A1414" s="217"/>
      <c r="B1414" s="217"/>
      <c r="C1414" s="214"/>
      <c r="D1414" s="244"/>
      <c r="E1414" s="215"/>
      <c r="F1414" s="215"/>
      <c r="G1414" s="222"/>
    </row>
    <row r="1415" spans="1:10" x14ac:dyDescent="0.25">
      <c r="A1415" s="217"/>
      <c r="B1415" s="1792" t="s">
        <v>26</v>
      </c>
      <c r="C1415" s="1792"/>
      <c r="D1415" s="1792"/>
      <c r="E1415" s="1793"/>
      <c r="F1415" s="215">
        <f>SUM(F1408:F1414)</f>
        <v>4805000</v>
      </c>
      <c r="G1415" s="369" t="s">
        <v>1409</v>
      </c>
      <c r="J1415" s="36">
        <f>F1415</f>
        <v>4805000</v>
      </c>
    </row>
    <row r="1417" spans="1:10" x14ac:dyDescent="0.25">
      <c r="A1417" s="1762" t="s">
        <v>549</v>
      </c>
      <c r="B1417" s="1762"/>
      <c r="C1417" s="188" t="s">
        <v>27</v>
      </c>
      <c r="D1417" s="1763" t="s">
        <v>1426</v>
      </c>
      <c r="E1417" s="1763"/>
      <c r="F1417" s="1763"/>
      <c r="G1417" s="188"/>
    </row>
    <row r="1418" spans="1:10" x14ac:dyDescent="0.25">
      <c r="A1418" s="1762" t="s">
        <v>28</v>
      </c>
      <c r="B1418" s="1762"/>
      <c r="C1418" s="188"/>
      <c r="D1418" s="1764" t="s">
        <v>2831</v>
      </c>
      <c r="E1418" s="1764"/>
      <c r="F1418" s="1764"/>
      <c r="G1418" s="188"/>
      <c r="H1418" s="36"/>
    </row>
    <row r="1419" spans="1:10" x14ac:dyDescent="0.25">
      <c r="A1419" s="186"/>
      <c r="B1419" s="187"/>
      <c r="C1419" s="188"/>
      <c r="D1419" s="189"/>
      <c r="E1419" s="218"/>
      <c r="F1419" s="218"/>
      <c r="G1419" s="188"/>
    </row>
    <row r="1420" spans="1:10" x14ac:dyDescent="0.25">
      <c r="A1420" s="186"/>
      <c r="B1420" s="187"/>
      <c r="C1420" s="188"/>
      <c r="D1420" s="189"/>
      <c r="E1420" s="218"/>
      <c r="F1420" s="218"/>
      <c r="G1420" s="188"/>
    </row>
    <row r="1421" spans="1:10" x14ac:dyDescent="0.25">
      <c r="A1421" s="1762"/>
      <c r="B1421" s="1762"/>
      <c r="C1421" s="188"/>
      <c r="D1421" s="189"/>
      <c r="E1421" s="1762"/>
      <c r="F1421" s="1762"/>
      <c r="G1421" s="188"/>
    </row>
    <row r="1422" spans="1:10" ht="14.25" customHeight="1" x14ac:dyDescent="0.25">
      <c r="A1422" s="1762" t="s">
        <v>29</v>
      </c>
      <c r="B1422" s="1762"/>
      <c r="C1422" s="188"/>
      <c r="D1422" s="1762" t="s">
        <v>2992</v>
      </c>
      <c r="E1422" s="1762"/>
      <c r="F1422" s="1762"/>
      <c r="G1422" s="188"/>
    </row>
    <row r="1424" spans="1:10" x14ac:dyDescent="0.25">
      <c r="A1424" s="1765" t="s">
        <v>0</v>
      </c>
      <c r="B1424" s="1765"/>
      <c r="C1424" s="1765"/>
      <c r="D1424" s="1765"/>
      <c r="E1424" s="1765"/>
      <c r="F1424" s="1765"/>
      <c r="G1424" s="1765"/>
    </row>
    <row r="1425" spans="1:7" x14ac:dyDescent="0.25">
      <c r="A1425" s="1765" t="s">
        <v>1</v>
      </c>
      <c r="B1425" s="1765"/>
      <c r="C1425" s="1765"/>
      <c r="D1425" s="1765"/>
      <c r="E1425" s="1765"/>
      <c r="F1425" s="1765"/>
      <c r="G1425" s="1765"/>
    </row>
    <row r="1426" spans="1:7" x14ac:dyDescent="0.25">
      <c r="A1426" s="1765" t="s">
        <v>1769</v>
      </c>
      <c r="B1426" s="1765"/>
      <c r="C1426" s="1765"/>
      <c r="D1426" s="1765"/>
      <c r="E1426" s="1765"/>
      <c r="F1426" s="1765"/>
      <c r="G1426" s="1765"/>
    </row>
    <row r="1427" spans="1:7" x14ac:dyDescent="0.25">
      <c r="A1427" s="184"/>
      <c r="B1427" s="184"/>
      <c r="C1427" s="184"/>
      <c r="D1427" s="184"/>
      <c r="E1427" s="184"/>
      <c r="F1427" s="184"/>
      <c r="G1427" s="184"/>
    </row>
    <row r="1428" spans="1:7" x14ac:dyDescent="0.25">
      <c r="A1428" s="428" t="s">
        <v>261</v>
      </c>
      <c r="B1428" s="232" t="s">
        <v>3</v>
      </c>
      <c r="C1428" s="428"/>
      <c r="D1428" s="185"/>
      <c r="E1428" s="227" t="s">
        <v>6</v>
      </c>
      <c r="F1428" s="191"/>
    </row>
    <row r="1429" spans="1:7" ht="24" x14ac:dyDescent="0.25">
      <c r="A1429" s="428" t="s">
        <v>262</v>
      </c>
      <c r="B1429" s="232" t="s">
        <v>385</v>
      </c>
      <c r="C1429" s="428"/>
      <c r="D1429" s="185"/>
      <c r="E1429" s="195" t="s">
        <v>9</v>
      </c>
      <c r="F1429" s="196"/>
    </row>
    <row r="1430" spans="1:7" ht="24" x14ac:dyDescent="0.25">
      <c r="A1430" s="429" t="s">
        <v>263</v>
      </c>
      <c r="B1430" s="429" t="s">
        <v>1862</v>
      </c>
      <c r="C1430" s="429"/>
      <c r="D1430" s="430"/>
      <c r="E1430" s="430"/>
      <c r="F1430" s="430"/>
    </row>
    <row r="1431" spans="1:7" x14ac:dyDescent="0.25">
      <c r="A1431" s="185" t="s">
        <v>410</v>
      </c>
      <c r="B1431" s="185" t="s">
        <v>61</v>
      </c>
      <c r="C1431" s="185"/>
      <c r="D1431" s="185"/>
      <c r="E1431" s="185"/>
      <c r="F1431" s="185"/>
    </row>
    <row r="1432" spans="1:7" x14ac:dyDescent="0.25">
      <c r="A1432" s="185" t="s">
        <v>62</v>
      </c>
      <c r="B1432" s="185" t="s">
        <v>63</v>
      </c>
      <c r="C1432" s="185"/>
      <c r="D1432" s="385"/>
      <c r="E1432" s="431"/>
      <c r="F1432" s="185"/>
    </row>
    <row r="1433" spans="1:7" x14ac:dyDescent="0.25">
      <c r="A1433" s="187"/>
      <c r="B1433" s="187"/>
      <c r="C1433" s="187"/>
      <c r="D1433" s="187"/>
      <c r="E1433" s="187"/>
      <c r="F1433" s="187"/>
    </row>
    <row r="1434" spans="1:7" ht="24" x14ac:dyDescent="0.25">
      <c r="A1434" s="198" t="s">
        <v>265</v>
      </c>
      <c r="B1434" s="198" t="s">
        <v>11</v>
      </c>
      <c r="C1434" s="1766" t="s">
        <v>12</v>
      </c>
      <c r="D1434" s="1766"/>
      <c r="E1434" s="267" t="s">
        <v>13</v>
      </c>
      <c r="F1434" s="268" t="s">
        <v>14</v>
      </c>
      <c r="G1434" s="34" t="s">
        <v>266</v>
      </c>
    </row>
    <row r="1435" spans="1:7" x14ac:dyDescent="0.25">
      <c r="A1435" s="198">
        <v>1</v>
      </c>
      <c r="B1435" s="198">
        <v>2</v>
      </c>
      <c r="C1435" s="1767">
        <v>3</v>
      </c>
      <c r="D1435" s="1768"/>
      <c r="E1435" s="269">
        <v>4</v>
      </c>
      <c r="F1435" s="268">
        <v>5</v>
      </c>
      <c r="G1435" s="35">
        <v>6</v>
      </c>
    </row>
    <row r="1436" spans="1:7" x14ac:dyDescent="0.25">
      <c r="A1436" s="203" t="s">
        <v>401</v>
      </c>
      <c r="B1436" s="204" t="s">
        <v>84</v>
      </c>
      <c r="C1436" s="205"/>
      <c r="D1436" s="206"/>
      <c r="E1436" s="197"/>
      <c r="F1436" s="199"/>
      <c r="G1436" s="1"/>
    </row>
    <row r="1437" spans="1:7" x14ac:dyDescent="0.25">
      <c r="A1437" s="203" t="s">
        <v>402</v>
      </c>
      <c r="B1437" s="204" t="s">
        <v>86</v>
      </c>
      <c r="C1437" s="205"/>
      <c r="D1437" s="206"/>
      <c r="E1437" s="197"/>
      <c r="F1437" s="199"/>
      <c r="G1437" s="1"/>
    </row>
    <row r="1438" spans="1:7" ht="24" x14ac:dyDescent="0.25">
      <c r="A1438" s="203" t="s">
        <v>403</v>
      </c>
      <c r="B1438" s="204" t="s">
        <v>290</v>
      </c>
      <c r="C1438" s="205"/>
      <c r="D1438" s="206"/>
      <c r="E1438" s="259"/>
      <c r="F1438" s="239"/>
      <c r="G1438" s="1"/>
    </row>
    <row r="1439" spans="1:7" x14ac:dyDescent="0.25">
      <c r="A1439" s="200"/>
      <c r="B1439" s="204" t="s">
        <v>408</v>
      </c>
      <c r="C1439" s="205">
        <v>1500</v>
      </c>
      <c r="D1439" s="206" t="s">
        <v>276</v>
      </c>
      <c r="E1439" s="259">
        <v>250</v>
      </c>
      <c r="F1439" s="239">
        <f>E1439*C1439</f>
        <v>375000</v>
      </c>
      <c r="G1439" s="1"/>
    </row>
    <row r="1440" spans="1:7" x14ac:dyDescent="0.25">
      <c r="A1440" s="222"/>
      <c r="B1440" s="204" t="s">
        <v>2848</v>
      </c>
      <c r="C1440" s="205">
        <v>4</v>
      </c>
      <c r="D1440" s="206" t="s">
        <v>110</v>
      </c>
      <c r="E1440" s="259">
        <v>300000</v>
      </c>
      <c r="F1440" s="239">
        <f>E1440*C1440</f>
        <v>1200000</v>
      </c>
      <c r="G1440" s="1"/>
    </row>
    <row r="1441" spans="1:19" x14ac:dyDescent="0.25">
      <c r="A1441" s="432"/>
      <c r="B1441" s="217"/>
      <c r="C1441" s="1791"/>
      <c r="D1441" s="1793"/>
      <c r="E1441" s="215"/>
      <c r="F1441" s="368"/>
      <c r="G1441" s="1"/>
    </row>
    <row r="1442" spans="1:19" ht="30" x14ac:dyDescent="0.25">
      <c r="A1442" s="433"/>
      <c r="B1442" s="1833" t="s">
        <v>26</v>
      </c>
      <c r="C1442" s="1834"/>
      <c r="D1442" s="1834"/>
      <c r="E1442" s="1835"/>
      <c r="F1442" s="408">
        <f>SUM(F1436:F1440)</f>
        <v>1575000</v>
      </c>
      <c r="G1442" s="4" t="s">
        <v>2570</v>
      </c>
      <c r="S1442" s="32">
        <f>F1442</f>
        <v>1575000</v>
      </c>
    </row>
    <row r="1444" spans="1:19" x14ac:dyDescent="0.25">
      <c r="A1444" s="1762" t="s">
        <v>549</v>
      </c>
      <c r="B1444" s="1762"/>
      <c r="C1444" s="188" t="s">
        <v>27</v>
      </c>
      <c r="D1444" s="1763" t="s">
        <v>1426</v>
      </c>
      <c r="E1444" s="1763"/>
      <c r="F1444" s="1763"/>
      <c r="G1444" s="188"/>
    </row>
    <row r="1445" spans="1:19" x14ac:dyDescent="0.25">
      <c r="A1445" s="1762" t="s">
        <v>28</v>
      </c>
      <c r="B1445" s="1762"/>
      <c r="C1445" s="188"/>
      <c r="D1445" s="1764" t="s">
        <v>2831</v>
      </c>
      <c r="E1445" s="1764"/>
      <c r="F1445" s="1764"/>
      <c r="G1445" s="188"/>
      <c r="H1445" s="36"/>
    </row>
    <row r="1446" spans="1:19" x14ac:dyDescent="0.25">
      <c r="A1446" s="186"/>
      <c r="B1446" s="187"/>
      <c r="C1446" s="188"/>
      <c r="D1446" s="189"/>
      <c r="E1446" s="218"/>
      <c r="F1446" s="218"/>
      <c r="G1446" s="188"/>
    </row>
    <row r="1447" spans="1:19" x14ac:dyDescent="0.25">
      <c r="A1447" s="186"/>
      <c r="B1447" s="187"/>
      <c r="C1447" s="188"/>
      <c r="D1447" s="189"/>
      <c r="E1447" s="218"/>
      <c r="F1447" s="218"/>
      <c r="G1447" s="188"/>
    </row>
    <row r="1448" spans="1:19" x14ac:dyDescent="0.25">
      <c r="A1448" s="1762"/>
      <c r="B1448" s="1762"/>
      <c r="C1448" s="188"/>
      <c r="D1448" s="189"/>
      <c r="E1448" s="1762"/>
      <c r="F1448" s="1762"/>
      <c r="G1448" s="188"/>
    </row>
    <row r="1449" spans="1:19" ht="14.25" customHeight="1" x14ac:dyDescent="0.25">
      <c r="A1449" s="1762" t="s">
        <v>29</v>
      </c>
      <c r="B1449" s="1762"/>
      <c r="C1449" s="188"/>
      <c r="D1449" s="1762" t="s">
        <v>2992</v>
      </c>
      <c r="E1449" s="1762"/>
      <c r="F1449" s="1762"/>
      <c r="G1449" s="188"/>
    </row>
    <row r="1452" spans="1:19" x14ac:dyDescent="0.25">
      <c r="A1452" s="1765" t="s">
        <v>0</v>
      </c>
      <c r="B1452" s="1765"/>
      <c r="C1452" s="1765"/>
      <c r="D1452" s="1765"/>
      <c r="E1452" s="1765"/>
      <c r="F1452" s="1765"/>
      <c r="G1452" s="1765"/>
    </row>
    <row r="1453" spans="1:19" x14ac:dyDescent="0.25">
      <c r="A1453" s="1765" t="s">
        <v>1</v>
      </c>
      <c r="B1453" s="1765"/>
      <c r="C1453" s="1765"/>
      <c r="D1453" s="1765"/>
      <c r="E1453" s="1765"/>
      <c r="F1453" s="1765"/>
      <c r="G1453" s="1765"/>
    </row>
    <row r="1454" spans="1:19" x14ac:dyDescent="0.25">
      <c r="A1454" s="1765" t="s">
        <v>1769</v>
      </c>
      <c r="B1454" s="1765"/>
      <c r="C1454" s="1765"/>
      <c r="D1454" s="1765"/>
      <c r="E1454" s="1765"/>
      <c r="F1454" s="1765"/>
      <c r="G1454" s="1765"/>
    </row>
    <row r="1455" spans="1:19" x14ac:dyDescent="0.25">
      <c r="A1455" s="184"/>
      <c r="B1455" s="184"/>
      <c r="C1455" s="184"/>
      <c r="D1455" s="184"/>
      <c r="E1455" s="184"/>
      <c r="F1455" s="184"/>
      <c r="G1455" s="184"/>
    </row>
    <row r="1456" spans="1:19" x14ac:dyDescent="0.25">
      <c r="A1456" s="428" t="s">
        <v>261</v>
      </c>
      <c r="B1456" s="232" t="s">
        <v>3</v>
      </c>
      <c r="C1456" s="428"/>
      <c r="D1456" s="428"/>
      <c r="E1456" s="227" t="s">
        <v>6</v>
      </c>
      <c r="F1456" s="191"/>
    </row>
    <row r="1457" spans="1:19" ht="24" x14ac:dyDescent="0.25">
      <c r="A1457" s="434" t="s">
        <v>262</v>
      </c>
      <c r="B1457" s="232" t="s">
        <v>385</v>
      </c>
      <c r="C1457" s="428"/>
      <c r="D1457" s="428"/>
      <c r="E1457" s="195" t="s">
        <v>9</v>
      </c>
      <c r="F1457" s="196"/>
    </row>
    <row r="1458" spans="1:19" ht="36" x14ac:dyDescent="0.25">
      <c r="A1458" s="429" t="s">
        <v>263</v>
      </c>
      <c r="B1458" s="429" t="s">
        <v>396</v>
      </c>
      <c r="C1458" s="429"/>
      <c r="D1458" s="429"/>
      <c r="E1458" s="429"/>
      <c r="F1458" s="429"/>
    </row>
    <row r="1459" spans="1:19" x14ac:dyDescent="0.25">
      <c r="A1459" s="226" t="s">
        <v>60</v>
      </c>
      <c r="B1459" s="226" t="s">
        <v>61</v>
      </c>
      <c r="C1459" s="226"/>
      <c r="D1459" s="188"/>
      <c r="E1459" s="188"/>
      <c r="F1459" s="188"/>
    </row>
    <row r="1460" spans="1:19" x14ac:dyDescent="0.25">
      <c r="A1460" s="226" t="s">
        <v>62</v>
      </c>
      <c r="B1460" s="226" t="s">
        <v>63</v>
      </c>
      <c r="C1460" s="226"/>
      <c r="D1460" s="1763"/>
      <c r="E1460" s="1763"/>
      <c r="F1460" s="188"/>
    </row>
    <row r="1461" spans="1:19" x14ac:dyDescent="0.25">
      <c r="A1461" s="187"/>
      <c r="B1461" s="187"/>
      <c r="C1461" s="187"/>
      <c r="D1461" s="187"/>
      <c r="E1461" s="187"/>
      <c r="F1461" s="187"/>
    </row>
    <row r="1462" spans="1:19" ht="24" x14ac:dyDescent="0.25">
      <c r="A1462" s="198" t="s">
        <v>265</v>
      </c>
      <c r="B1462" s="198" t="s">
        <v>11</v>
      </c>
      <c r="C1462" s="1766" t="s">
        <v>12</v>
      </c>
      <c r="D1462" s="1766"/>
      <c r="E1462" s="267" t="s">
        <v>13</v>
      </c>
      <c r="F1462" s="268" t="s">
        <v>14</v>
      </c>
      <c r="G1462" s="34" t="s">
        <v>266</v>
      </c>
    </row>
    <row r="1463" spans="1:19" x14ac:dyDescent="0.25">
      <c r="A1463" s="198">
        <v>1</v>
      </c>
      <c r="B1463" s="198">
        <v>2</v>
      </c>
      <c r="C1463" s="1767">
        <v>3</v>
      </c>
      <c r="D1463" s="1768"/>
      <c r="E1463" s="269">
        <v>4</v>
      </c>
      <c r="F1463" s="268">
        <v>5</v>
      </c>
      <c r="G1463" s="35">
        <v>6</v>
      </c>
    </row>
    <row r="1464" spans="1:19" x14ac:dyDescent="0.25">
      <c r="A1464" s="203" t="s">
        <v>397</v>
      </c>
      <c r="B1464" s="204" t="s">
        <v>84</v>
      </c>
      <c r="C1464" s="205"/>
      <c r="D1464" s="206"/>
      <c r="E1464" s="197"/>
      <c r="F1464" s="199"/>
      <c r="G1464" s="222"/>
    </row>
    <row r="1465" spans="1:19" x14ac:dyDescent="0.25">
      <c r="A1465" s="203" t="s">
        <v>398</v>
      </c>
      <c r="B1465" s="204" t="s">
        <v>86</v>
      </c>
      <c r="C1465" s="205"/>
      <c r="D1465" s="206"/>
      <c r="E1465" s="197"/>
      <c r="F1465" s="199"/>
      <c r="G1465" s="222"/>
    </row>
    <row r="1466" spans="1:19" ht="24" x14ac:dyDescent="0.25">
      <c r="A1466" s="203" t="s">
        <v>399</v>
      </c>
      <c r="B1466" s="204" t="s">
        <v>290</v>
      </c>
      <c r="C1466" s="205"/>
      <c r="D1466" s="206"/>
      <c r="E1466" s="259"/>
      <c r="F1466" s="239"/>
      <c r="G1466" s="222"/>
    </row>
    <row r="1467" spans="1:19" x14ac:dyDescent="0.25">
      <c r="A1467" s="203"/>
      <c r="B1467" s="204" t="s">
        <v>400</v>
      </c>
      <c r="C1467" s="205">
        <v>5</v>
      </c>
      <c r="D1467" s="206" t="s">
        <v>110</v>
      </c>
      <c r="E1467" s="259">
        <v>300000</v>
      </c>
      <c r="F1467" s="239">
        <f>E1467*C1467</f>
        <v>1500000</v>
      </c>
      <c r="G1467" s="222"/>
    </row>
    <row r="1468" spans="1:19" x14ac:dyDescent="0.25">
      <c r="A1468" s="217"/>
      <c r="B1468" s="204"/>
      <c r="C1468" s="205"/>
      <c r="D1468" s="206"/>
      <c r="E1468" s="259"/>
      <c r="F1468" s="239"/>
      <c r="G1468" s="222"/>
    </row>
    <row r="1469" spans="1:19" x14ac:dyDescent="0.25">
      <c r="A1469" s="217"/>
      <c r="B1469" s="217"/>
      <c r="C1469" s="214"/>
      <c r="D1469" s="244"/>
      <c r="E1469" s="215"/>
      <c r="F1469" s="215"/>
      <c r="G1469" s="222"/>
    </row>
    <row r="1470" spans="1:19" ht="24.75" x14ac:dyDescent="0.25">
      <c r="A1470" s="217"/>
      <c r="B1470" s="1792" t="s">
        <v>26</v>
      </c>
      <c r="C1470" s="1792"/>
      <c r="D1470" s="1792"/>
      <c r="E1470" s="1793"/>
      <c r="F1470" s="215">
        <f>SUM(F1466:F1469)</f>
        <v>1500000</v>
      </c>
      <c r="G1470" s="369" t="s">
        <v>2570</v>
      </c>
      <c r="S1470" s="36">
        <f>F1470</f>
        <v>1500000</v>
      </c>
    </row>
    <row r="1472" spans="1:19" x14ac:dyDescent="0.25">
      <c r="A1472" s="1762" t="s">
        <v>549</v>
      </c>
      <c r="B1472" s="1762"/>
      <c r="C1472" s="188" t="s">
        <v>27</v>
      </c>
      <c r="D1472" s="1763" t="s">
        <v>1426</v>
      </c>
      <c r="E1472" s="1763"/>
      <c r="F1472" s="1763"/>
      <c r="G1472" s="188"/>
    </row>
    <row r="1473" spans="1:8" x14ac:dyDescent="0.25">
      <c r="A1473" s="1762" t="s">
        <v>28</v>
      </c>
      <c r="B1473" s="1762"/>
      <c r="C1473" s="188"/>
      <c r="D1473" s="1764" t="s">
        <v>2831</v>
      </c>
      <c r="E1473" s="1764"/>
      <c r="F1473" s="1764"/>
      <c r="G1473" s="188"/>
      <c r="H1473" s="36"/>
    </row>
    <row r="1474" spans="1:8" x14ac:dyDescent="0.25">
      <c r="A1474" s="186"/>
      <c r="B1474" s="187"/>
      <c r="C1474" s="188"/>
      <c r="D1474" s="189"/>
      <c r="E1474" s="218"/>
      <c r="F1474" s="218"/>
      <c r="G1474" s="188"/>
    </row>
    <row r="1475" spans="1:8" x14ac:dyDescent="0.25">
      <c r="A1475" s="186"/>
      <c r="B1475" s="187"/>
      <c r="C1475" s="188"/>
      <c r="D1475" s="189"/>
      <c r="E1475" s="218"/>
      <c r="F1475" s="218"/>
      <c r="G1475" s="188"/>
    </row>
    <row r="1476" spans="1:8" x14ac:dyDescent="0.25">
      <c r="A1476" s="1762"/>
      <c r="B1476" s="1762"/>
      <c r="C1476" s="188"/>
      <c r="D1476" s="189"/>
      <c r="E1476" s="1762"/>
      <c r="F1476" s="1762"/>
      <c r="G1476" s="188"/>
    </row>
    <row r="1477" spans="1:8" ht="14.25" customHeight="1" x14ac:dyDescent="0.25">
      <c r="A1477" s="1762" t="s">
        <v>29</v>
      </c>
      <c r="B1477" s="1762"/>
      <c r="C1477" s="188"/>
      <c r="D1477" s="1762" t="s">
        <v>2992</v>
      </c>
      <c r="E1477" s="1762"/>
      <c r="F1477" s="1762"/>
      <c r="G1477" s="188"/>
    </row>
    <row r="1478" spans="1:8" x14ac:dyDescent="0.25">
      <c r="A1478" s="1765" t="s">
        <v>0</v>
      </c>
      <c r="B1478" s="1765"/>
      <c r="C1478" s="1765"/>
      <c r="D1478" s="1765"/>
      <c r="E1478" s="1765"/>
      <c r="F1478" s="1765"/>
      <c r="G1478" s="1765"/>
    </row>
    <row r="1479" spans="1:8" x14ac:dyDescent="0.25">
      <c r="A1479" s="1765" t="s">
        <v>1</v>
      </c>
      <c r="B1479" s="1765"/>
      <c r="C1479" s="1765"/>
      <c r="D1479" s="1765"/>
      <c r="E1479" s="1765"/>
      <c r="F1479" s="1765"/>
      <c r="G1479" s="1765"/>
    </row>
    <row r="1480" spans="1:8" x14ac:dyDescent="0.25">
      <c r="A1480" s="1765" t="s">
        <v>1769</v>
      </c>
      <c r="B1480" s="1765"/>
      <c r="C1480" s="1765"/>
      <c r="D1480" s="1765"/>
      <c r="E1480" s="1765"/>
      <c r="F1480" s="1765"/>
      <c r="G1480" s="1765"/>
    </row>
    <row r="1481" spans="1:8" x14ac:dyDescent="0.25">
      <c r="A1481" s="184"/>
      <c r="B1481" s="184"/>
      <c r="C1481" s="184"/>
      <c r="D1481" s="184"/>
      <c r="E1481" s="184"/>
      <c r="F1481" s="184"/>
      <c r="G1481" s="184"/>
    </row>
    <row r="1482" spans="1:8" x14ac:dyDescent="0.25">
      <c r="A1482" s="428" t="s">
        <v>261</v>
      </c>
      <c r="B1482" s="232" t="s">
        <v>3</v>
      </c>
      <c r="C1482" s="428"/>
      <c r="D1482" s="428"/>
      <c r="E1482" s="227" t="s">
        <v>6</v>
      </c>
      <c r="F1482" s="191"/>
    </row>
    <row r="1483" spans="1:8" x14ac:dyDescent="0.25">
      <c r="A1483" s="434" t="s">
        <v>262</v>
      </c>
      <c r="B1483" s="232" t="s">
        <v>2849</v>
      </c>
      <c r="C1483" s="428"/>
      <c r="D1483" s="428"/>
      <c r="E1483" s="195" t="s">
        <v>9</v>
      </c>
      <c r="F1483" s="196"/>
    </row>
    <row r="1484" spans="1:8" ht="24" x14ac:dyDescent="0.25">
      <c r="A1484" s="429" t="s">
        <v>263</v>
      </c>
      <c r="B1484" s="429" t="s">
        <v>2850</v>
      </c>
      <c r="C1484" s="429"/>
      <c r="D1484" s="429"/>
      <c r="E1484" s="429"/>
      <c r="F1484" s="429"/>
    </row>
    <row r="1485" spans="1:8" x14ac:dyDescent="0.25">
      <c r="A1485" s="226" t="s">
        <v>60</v>
      </c>
      <c r="B1485" s="226" t="s">
        <v>61</v>
      </c>
      <c r="C1485" s="226"/>
      <c r="D1485" s="188"/>
      <c r="E1485" s="188"/>
      <c r="F1485" s="188"/>
    </row>
    <row r="1486" spans="1:8" x14ac:dyDescent="0.25">
      <c r="A1486" s="226" t="s">
        <v>62</v>
      </c>
      <c r="B1486" s="226" t="s">
        <v>63</v>
      </c>
      <c r="C1486" s="226"/>
      <c r="D1486" s="1763"/>
      <c r="E1486" s="1763"/>
      <c r="F1486" s="188"/>
    </row>
    <row r="1487" spans="1:8" x14ac:dyDescent="0.25">
      <c r="A1487" s="187"/>
      <c r="B1487" s="187"/>
      <c r="C1487" s="187"/>
      <c r="D1487" s="187"/>
      <c r="E1487" s="187"/>
      <c r="F1487" s="187"/>
    </row>
    <row r="1488" spans="1:8" ht="24" x14ac:dyDescent="0.25">
      <c r="A1488" s="198" t="s">
        <v>265</v>
      </c>
      <c r="B1488" s="198" t="s">
        <v>11</v>
      </c>
      <c r="C1488" s="1766" t="s">
        <v>12</v>
      </c>
      <c r="D1488" s="1766"/>
      <c r="E1488" s="267" t="s">
        <v>13</v>
      </c>
      <c r="F1488" s="268" t="s">
        <v>14</v>
      </c>
      <c r="G1488" s="34" t="s">
        <v>266</v>
      </c>
    </row>
    <row r="1489" spans="1:22" x14ac:dyDescent="0.25">
      <c r="A1489" s="198">
        <v>1</v>
      </c>
      <c r="B1489" s="198">
        <v>2</v>
      </c>
      <c r="C1489" s="1767">
        <v>3</v>
      </c>
      <c r="D1489" s="1768"/>
      <c r="E1489" s="269">
        <v>4</v>
      </c>
      <c r="F1489" s="268">
        <v>5</v>
      </c>
      <c r="G1489" s="35">
        <v>6</v>
      </c>
    </row>
    <row r="1490" spans="1:22" x14ac:dyDescent="0.25">
      <c r="A1490" s="203" t="s">
        <v>2851</v>
      </c>
      <c r="B1490" s="204" t="s">
        <v>424</v>
      </c>
      <c r="C1490" s="205"/>
      <c r="D1490" s="206"/>
      <c r="E1490" s="197"/>
      <c r="F1490" s="199"/>
      <c r="G1490" s="222"/>
    </row>
    <row r="1491" spans="1:22" x14ac:dyDescent="0.25">
      <c r="A1491" s="203" t="s">
        <v>2853</v>
      </c>
      <c r="B1491" s="204" t="s">
        <v>2852</v>
      </c>
      <c r="C1491" s="205"/>
      <c r="D1491" s="206"/>
      <c r="E1491" s="197"/>
      <c r="F1491" s="199"/>
      <c r="G1491" s="222"/>
    </row>
    <row r="1492" spans="1:22" x14ac:dyDescent="0.25">
      <c r="A1492" s="203" t="s">
        <v>2854</v>
      </c>
      <c r="B1492" s="204" t="s">
        <v>2855</v>
      </c>
      <c r="C1492" s="205"/>
      <c r="D1492" s="206"/>
      <c r="E1492" s="259"/>
      <c r="F1492" s="239"/>
      <c r="G1492" s="222"/>
    </row>
    <row r="1493" spans="1:22" ht="24" x14ac:dyDescent="0.25">
      <c r="A1493" s="203"/>
      <c r="B1493" s="204" t="s">
        <v>2926</v>
      </c>
      <c r="C1493" s="205">
        <v>1</v>
      </c>
      <c r="D1493" s="206" t="s">
        <v>222</v>
      </c>
      <c r="E1493" s="259">
        <v>52047633</v>
      </c>
      <c r="F1493" s="239">
        <f>E1493*C1493</f>
        <v>52047633</v>
      </c>
      <c r="G1493" s="222"/>
      <c r="H1493" s="32"/>
    </row>
    <row r="1494" spans="1:22" ht="24.75" x14ac:dyDescent="0.25">
      <c r="A1494" s="217"/>
      <c r="B1494" s="1792" t="s">
        <v>26</v>
      </c>
      <c r="C1494" s="1792"/>
      <c r="D1494" s="1792"/>
      <c r="E1494" s="1793"/>
      <c r="F1494" s="215">
        <f>SUM(F1492:F1493)</f>
        <v>52047633</v>
      </c>
      <c r="G1494" s="369" t="s">
        <v>2573</v>
      </c>
      <c r="H1494" s="32"/>
      <c r="J1494" s="36"/>
      <c r="S1494" s="36"/>
      <c r="V1494" s="36">
        <f>F1494</f>
        <v>52047633</v>
      </c>
    </row>
    <row r="1496" spans="1:22" x14ac:dyDescent="0.25">
      <c r="A1496" s="1762" t="s">
        <v>549</v>
      </c>
      <c r="B1496" s="1762"/>
      <c r="C1496" s="188" t="s">
        <v>27</v>
      </c>
      <c r="D1496" s="1763" t="s">
        <v>1426</v>
      </c>
      <c r="E1496" s="1763"/>
      <c r="F1496" s="1763"/>
      <c r="G1496" s="188"/>
    </row>
    <row r="1497" spans="1:22" x14ac:dyDescent="0.25">
      <c r="A1497" s="1762" t="s">
        <v>28</v>
      </c>
      <c r="B1497" s="1762"/>
      <c r="C1497" s="188"/>
      <c r="D1497" s="1764" t="s">
        <v>2831</v>
      </c>
      <c r="E1497" s="1764"/>
      <c r="F1497" s="1764"/>
      <c r="G1497" s="188"/>
      <c r="H1497" s="36"/>
    </row>
    <row r="1498" spans="1:22" x14ac:dyDescent="0.25">
      <c r="A1498" s="186"/>
      <c r="B1498" s="187"/>
      <c r="C1498" s="188"/>
      <c r="D1498" s="189"/>
      <c r="E1498" s="218"/>
      <c r="F1498" s="218"/>
      <c r="G1498" s="188"/>
    </row>
    <row r="1499" spans="1:22" x14ac:dyDescent="0.25">
      <c r="A1499" s="186"/>
      <c r="B1499" s="187"/>
      <c r="C1499" s="188"/>
      <c r="D1499" s="189"/>
      <c r="E1499" s="218"/>
      <c r="F1499" s="218"/>
      <c r="G1499" s="188"/>
    </row>
    <row r="1500" spans="1:22" x14ac:dyDescent="0.25">
      <c r="A1500" s="1762"/>
      <c r="B1500" s="1762"/>
      <c r="C1500" s="188"/>
      <c r="D1500" s="189"/>
      <c r="E1500" s="1762"/>
      <c r="F1500" s="1762"/>
      <c r="G1500" s="188"/>
    </row>
    <row r="1501" spans="1:22" ht="14.25" customHeight="1" x14ac:dyDescent="0.25">
      <c r="A1501" s="1762" t="s">
        <v>29</v>
      </c>
      <c r="B1501" s="1762"/>
      <c r="C1501" s="188"/>
      <c r="D1501" s="1762" t="s">
        <v>2992</v>
      </c>
      <c r="E1501" s="1762"/>
      <c r="F1501" s="1762"/>
      <c r="G1501" s="188"/>
    </row>
    <row r="1504" spans="1:22" x14ac:dyDescent="0.25">
      <c r="F1504" s="1824"/>
      <c r="G1504" s="1824"/>
    </row>
    <row r="1506" spans="5:6" x14ac:dyDescent="0.25">
      <c r="F1506" s="32">
        <f>F1494+F1470+F1442+F1415+F1384+F1354+F1320+F1280+F1236+F1192+F1149+F1112+F1074+F1035+F916+F879+F801+F757+F727+F702+F675+F643+F606+F570+F538+F495+F464+F428+F390+F349+F307+F276+F93+F61+F20+F842+F983</f>
        <v>3802283774.9500003</v>
      </c>
    </row>
    <row r="1507" spans="5:6" x14ac:dyDescent="0.25">
      <c r="E1507" s="172"/>
    </row>
  </sheetData>
  <mergeCells count="564">
    <mergeCell ref="A1422:B1422"/>
    <mergeCell ref="D1422:F1422"/>
    <mergeCell ref="A1444:B1444"/>
    <mergeCell ref="D1444:F1444"/>
    <mergeCell ref="A1445:B1445"/>
    <mergeCell ref="D1445:F1445"/>
    <mergeCell ref="A1448:B1448"/>
    <mergeCell ref="E1448:F1448"/>
    <mergeCell ref="A1449:B1449"/>
    <mergeCell ref="D1449:F1449"/>
    <mergeCell ref="C1435:D1435"/>
    <mergeCell ref="C1441:D1441"/>
    <mergeCell ref="B1442:E1442"/>
    <mergeCell ref="A1390:B1390"/>
    <mergeCell ref="E1390:F1390"/>
    <mergeCell ref="A1391:B1391"/>
    <mergeCell ref="D1391:F1391"/>
    <mergeCell ref="A1417:B1417"/>
    <mergeCell ref="D1417:F1417"/>
    <mergeCell ref="A1418:B1418"/>
    <mergeCell ref="D1418:F1418"/>
    <mergeCell ref="A1421:B1421"/>
    <mergeCell ref="E1421:F1421"/>
    <mergeCell ref="A1359:B1359"/>
    <mergeCell ref="E1359:F1359"/>
    <mergeCell ref="A1360:B1360"/>
    <mergeCell ref="D1360:F1360"/>
    <mergeCell ref="A1386:B1386"/>
    <mergeCell ref="D1386:F1386"/>
    <mergeCell ref="A1387:B1387"/>
    <mergeCell ref="D1387:F1387"/>
    <mergeCell ref="B1384:E1384"/>
    <mergeCell ref="A1322:B1322"/>
    <mergeCell ref="D1322:F1322"/>
    <mergeCell ref="A1325:B1325"/>
    <mergeCell ref="E1325:F1325"/>
    <mergeCell ref="A1326:B1326"/>
    <mergeCell ref="D1326:F1326"/>
    <mergeCell ref="A1355:B1355"/>
    <mergeCell ref="D1355:F1355"/>
    <mergeCell ref="A1356:B1356"/>
    <mergeCell ref="D1356:F1356"/>
    <mergeCell ref="D1335:E1335"/>
    <mergeCell ref="C1337:D1337"/>
    <mergeCell ref="C1338:D1338"/>
    <mergeCell ref="B1354:E1354"/>
    <mergeCell ref="A1084:G1084"/>
    <mergeCell ref="A1085:G1085"/>
    <mergeCell ref="D1129:E1129"/>
    <mergeCell ref="C1131:D1131"/>
    <mergeCell ref="C1132:D1132"/>
    <mergeCell ref="B1149:E1149"/>
    <mergeCell ref="A1114:B1114"/>
    <mergeCell ref="D1114:F1114"/>
    <mergeCell ref="A1321:B1321"/>
    <mergeCell ref="D1321:F1321"/>
    <mergeCell ref="A1238:B1238"/>
    <mergeCell ref="D1238:F1238"/>
    <mergeCell ref="A1239:B1239"/>
    <mergeCell ref="D1239:F1239"/>
    <mergeCell ref="A1242:B1242"/>
    <mergeCell ref="E1242:F1242"/>
    <mergeCell ref="A1243:B1243"/>
    <mergeCell ref="D1243:F1243"/>
    <mergeCell ref="A1202:F1202"/>
    <mergeCell ref="A1203:F1203"/>
    <mergeCell ref="A1204:F1204"/>
    <mergeCell ref="C1212:D1212"/>
    <mergeCell ref="C1213:D1213"/>
    <mergeCell ref="B1236:E1236"/>
    <mergeCell ref="C626:D626"/>
    <mergeCell ref="B643:E643"/>
    <mergeCell ref="A645:B645"/>
    <mergeCell ref="D645:F645"/>
    <mergeCell ref="A646:B646"/>
    <mergeCell ref="D646:F646"/>
    <mergeCell ref="A649:B649"/>
    <mergeCell ref="E649:F649"/>
    <mergeCell ref="A650:B650"/>
    <mergeCell ref="D650:F650"/>
    <mergeCell ref="C589:D589"/>
    <mergeCell ref="B606:E606"/>
    <mergeCell ref="A616:F616"/>
    <mergeCell ref="C625:D625"/>
    <mergeCell ref="A615:F615"/>
    <mergeCell ref="A617:F617"/>
    <mergeCell ref="A608:B608"/>
    <mergeCell ref="D608:F608"/>
    <mergeCell ref="A609:B609"/>
    <mergeCell ref="D609:F609"/>
    <mergeCell ref="A612:B612"/>
    <mergeCell ref="E612:F612"/>
    <mergeCell ref="A613:B613"/>
    <mergeCell ref="D613:F613"/>
    <mergeCell ref="A1288:F1288"/>
    <mergeCell ref="A1289:F1289"/>
    <mergeCell ref="A1290:F1290"/>
    <mergeCell ref="D1296:E1296"/>
    <mergeCell ref="C1298:D1298"/>
    <mergeCell ref="C1299:D1299"/>
    <mergeCell ref="B1320:E1320"/>
    <mergeCell ref="A1282:B1282"/>
    <mergeCell ref="D1282:F1282"/>
    <mergeCell ref="A1283:B1283"/>
    <mergeCell ref="D1283:F1283"/>
    <mergeCell ref="A1286:B1286"/>
    <mergeCell ref="E1286:F1286"/>
    <mergeCell ref="A1287:B1287"/>
    <mergeCell ref="D1287:F1287"/>
    <mergeCell ref="A1452:G1452"/>
    <mergeCell ref="A1453:G1453"/>
    <mergeCell ref="A1454:G1454"/>
    <mergeCell ref="D1460:E1460"/>
    <mergeCell ref="C1462:D1462"/>
    <mergeCell ref="C1463:D1463"/>
    <mergeCell ref="B1470:E1470"/>
    <mergeCell ref="A1472:B1472"/>
    <mergeCell ref="D1472:F1472"/>
    <mergeCell ref="A1473:B1473"/>
    <mergeCell ref="D1473:F1473"/>
    <mergeCell ref="A1476:B1476"/>
    <mergeCell ref="E1476:F1476"/>
    <mergeCell ref="A1477:B1477"/>
    <mergeCell ref="D1477:F1477"/>
    <mergeCell ref="A1247:F1247"/>
    <mergeCell ref="A1248:F1248"/>
    <mergeCell ref="A1249:F1249"/>
    <mergeCell ref="C1257:D1257"/>
    <mergeCell ref="C1258:D1258"/>
    <mergeCell ref="B1280:E1280"/>
    <mergeCell ref="A1394:G1394"/>
    <mergeCell ref="A1395:G1395"/>
    <mergeCell ref="A1396:G1396"/>
    <mergeCell ref="A1363:G1363"/>
    <mergeCell ref="A1364:G1364"/>
    <mergeCell ref="A1365:G1365"/>
    <mergeCell ref="C1405:D1405"/>
    <mergeCell ref="B1415:E1415"/>
    <mergeCell ref="A1424:G1424"/>
    <mergeCell ref="A1425:G1425"/>
    <mergeCell ref="A1426:G1426"/>
    <mergeCell ref="C1434:D1434"/>
    <mergeCell ref="A1118:B1118"/>
    <mergeCell ref="E1118:F1118"/>
    <mergeCell ref="A1119:B1119"/>
    <mergeCell ref="D1119:F1119"/>
    <mergeCell ref="C662:D662"/>
    <mergeCell ref="A652:G652"/>
    <mergeCell ref="A653:G653"/>
    <mergeCell ref="A654:G654"/>
    <mergeCell ref="D660:E660"/>
    <mergeCell ref="C663:D663"/>
    <mergeCell ref="B675:E675"/>
    <mergeCell ref="A683:G683"/>
    <mergeCell ref="A766:G766"/>
    <mergeCell ref="A710:G710"/>
    <mergeCell ref="A711:G711"/>
    <mergeCell ref="A712:G712"/>
    <mergeCell ref="C720:D720"/>
    <mergeCell ref="C721:D721"/>
    <mergeCell ref="A727:E727"/>
    <mergeCell ref="A1086:G1086"/>
    <mergeCell ref="D1092:E1092"/>
    <mergeCell ref="C1094:D1094"/>
    <mergeCell ref="A1081:B1081"/>
    <mergeCell ref="D1081:F1081"/>
    <mergeCell ref="C370:D370"/>
    <mergeCell ref="B390:E390"/>
    <mergeCell ref="C369:D369"/>
    <mergeCell ref="A359:G359"/>
    <mergeCell ref="A360:G360"/>
    <mergeCell ref="A1115:B1115"/>
    <mergeCell ref="D1115:F1115"/>
    <mergeCell ref="A546:F546"/>
    <mergeCell ref="A547:F547"/>
    <mergeCell ref="A548:F548"/>
    <mergeCell ref="A506:F506"/>
    <mergeCell ref="C514:D514"/>
    <mergeCell ref="C515:D515"/>
    <mergeCell ref="B538:E538"/>
    <mergeCell ref="A502:B502"/>
    <mergeCell ref="C556:D556"/>
    <mergeCell ref="D502:F502"/>
    <mergeCell ref="A539:B539"/>
    <mergeCell ref="D539:F539"/>
    <mergeCell ref="A540:B540"/>
    <mergeCell ref="D540:F540"/>
    <mergeCell ref="A543:B543"/>
    <mergeCell ref="E543:F543"/>
    <mergeCell ref="A544:B544"/>
    <mergeCell ref="A279:B279"/>
    <mergeCell ref="D279:F279"/>
    <mergeCell ref="A282:B282"/>
    <mergeCell ref="E282:F282"/>
    <mergeCell ref="A283:B283"/>
    <mergeCell ref="D283:F283"/>
    <mergeCell ref="A309:B309"/>
    <mergeCell ref="D309:F309"/>
    <mergeCell ref="A310:B310"/>
    <mergeCell ref="D310:F310"/>
    <mergeCell ref="C295:D295"/>
    <mergeCell ref="C296:D296"/>
    <mergeCell ref="A307:E307"/>
    <mergeCell ref="A62:B62"/>
    <mergeCell ref="D62:F62"/>
    <mergeCell ref="A63:B63"/>
    <mergeCell ref="D63:F63"/>
    <mergeCell ref="A66:B66"/>
    <mergeCell ref="A278:B278"/>
    <mergeCell ref="D278:F278"/>
    <mergeCell ref="E66:F66"/>
    <mergeCell ref="A67:B67"/>
    <mergeCell ref="D67:F67"/>
    <mergeCell ref="C79:D79"/>
    <mergeCell ref="A93:E93"/>
    <mergeCell ref="A94:B94"/>
    <mergeCell ref="D94:F94"/>
    <mergeCell ref="A95:B95"/>
    <mergeCell ref="D95:F95"/>
    <mergeCell ref="A98:B98"/>
    <mergeCell ref="E98:F98"/>
    <mergeCell ref="A99:B99"/>
    <mergeCell ref="D99:F99"/>
    <mergeCell ref="A1159:G1159"/>
    <mergeCell ref="A1160:G1160"/>
    <mergeCell ref="A1161:G1161"/>
    <mergeCell ref="C1169:D1169"/>
    <mergeCell ref="C1170:D1170"/>
    <mergeCell ref="A29:G29"/>
    <mergeCell ref="A30:G30"/>
    <mergeCell ref="A400:F400"/>
    <mergeCell ref="A70:G70"/>
    <mergeCell ref="C78:D78"/>
    <mergeCell ref="C38:D38"/>
    <mergeCell ref="C39:D39"/>
    <mergeCell ref="A69:G69"/>
    <mergeCell ref="A286:G286"/>
    <mergeCell ref="A287:G287"/>
    <mergeCell ref="A288:G288"/>
    <mergeCell ref="C112:D112"/>
    <mergeCell ref="C113:D113"/>
    <mergeCell ref="A276:E276"/>
    <mergeCell ref="A103:G103"/>
    <mergeCell ref="A104:G104"/>
    <mergeCell ref="A105:G105"/>
    <mergeCell ref="A31:G31"/>
    <mergeCell ref="A61:E61"/>
    <mergeCell ref="A895:B895"/>
    <mergeCell ref="C897:D897"/>
    <mergeCell ref="C898:D898"/>
    <mergeCell ref="C903:E903"/>
    <mergeCell ref="C908:E908"/>
    <mergeCell ref="A849:G849"/>
    <mergeCell ref="A850:G850"/>
    <mergeCell ref="A851:G851"/>
    <mergeCell ref="A858:B858"/>
    <mergeCell ref="C860:D860"/>
    <mergeCell ref="C877:E877"/>
    <mergeCell ref="A886:G886"/>
    <mergeCell ref="A887:G887"/>
    <mergeCell ref="A880:B880"/>
    <mergeCell ref="D880:F880"/>
    <mergeCell ref="A881:B881"/>
    <mergeCell ref="D881:F881"/>
    <mergeCell ref="A884:B884"/>
    <mergeCell ref="E884:F884"/>
    <mergeCell ref="A885:B885"/>
    <mergeCell ref="D885:F885"/>
    <mergeCell ref="B879:E879"/>
    <mergeCell ref="A349:E349"/>
    <mergeCell ref="D367:E367"/>
    <mergeCell ref="A504:F504"/>
    <mergeCell ref="A505:F505"/>
    <mergeCell ref="B464:E464"/>
    <mergeCell ref="A888:G888"/>
    <mergeCell ref="A313:B313"/>
    <mergeCell ref="A472:F472"/>
    <mergeCell ref="A473:F473"/>
    <mergeCell ref="A474:F474"/>
    <mergeCell ref="C482:D482"/>
    <mergeCell ref="C483:D483"/>
    <mergeCell ref="A401:F401"/>
    <mergeCell ref="A402:F402"/>
    <mergeCell ref="D408:E408"/>
    <mergeCell ref="C410:D410"/>
    <mergeCell ref="C411:D411"/>
    <mergeCell ref="B428:E428"/>
    <mergeCell ref="A430:B430"/>
    <mergeCell ref="D430:F430"/>
    <mergeCell ref="A431:B431"/>
    <mergeCell ref="A361:G361"/>
    <mergeCell ref="A437:F437"/>
    <mergeCell ref="A438:F438"/>
    <mergeCell ref="F1504:G1504"/>
    <mergeCell ref="D1402:E1402"/>
    <mergeCell ref="C1404:D1404"/>
    <mergeCell ref="D1371:E1371"/>
    <mergeCell ref="C1373:D1373"/>
    <mergeCell ref="C1374:D1374"/>
    <mergeCell ref="A1:G1"/>
    <mergeCell ref="A2:G2"/>
    <mergeCell ref="A3:G3"/>
    <mergeCell ref="A10:G10"/>
    <mergeCell ref="C11:D11"/>
    <mergeCell ref="C12:D12"/>
    <mergeCell ref="A20:E20"/>
    <mergeCell ref="A22:B22"/>
    <mergeCell ref="D22:F22"/>
    <mergeCell ref="D77:E77"/>
    <mergeCell ref="B73:D73"/>
    <mergeCell ref="A71:G71"/>
    <mergeCell ref="A23:B23"/>
    <mergeCell ref="D23:F23"/>
    <mergeCell ref="A26:B26"/>
    <mergeCell ref="E26:F26"/>
    <mergeCell ref="A27:B27"/>
    <mergeCell ref="D27:F27"/>
    <mergeCell ref="A848:B848"/>
    <mergeCell ref="D848:F848"/>
    <mergeCell ref="C861:D861"/>
    <mergeCell ref="C866:E866"/>
    <mergeCell ref="C871:E871"/>
    <mergeCell ref="A684:G684"/>
    <mergeCell ref="A685:G685"/>
    <mergeCell ref="A686:G686"/>
    <mergeCell ref="D692:E692"/>
    <mergeCell ref="C694:D694"/>
    <mergeCell ref="C695:D695"/>
    <mergeCell ref="B702:E702"/>
    <mergeCell ref="A705:B705"/>
    <mergeCell ref="D705:F705"/>
    <mergeCell ref="A708:B708"/>
    <mergeCell ref="E708:F708"/>
    <mergeCell ref="A709:B709"/>
    <mergeCell ref="D709:F709"/>
    <mergeCell ref="A808:G808"/>
    <mergeCell ref="A809:G809"/>
    <mergeCell ref="A1480:G1480"/>
    <mergeCell ref="C945:E945"/>
    <mergeCell ref="C951:E951"/>
    <mergeCell ref="B953:E953"/>
    <mergeCell ref="C914:E914"/>
    <mergeCell ref="B916:E916"/>
    <mergeCell ref="A923:G923"/>
    <mergeCell ref="A924:G924"/>
    <mergeCell ref="A925:G925"/>
    <mergeCell ref="A932:B932"/>
    <mergeCell ref="C934:D934"/>
    <mergeCell ref="C935:D935"/>
    <mergeCell ref="C940:E940"/>
    <mergeCell ref="A1327:F1327"/>
    <mergeCell ref="A1328:F1328"/>
    <mergeCell ref="A1329:F1329"/>
    <mergeCell ref="B1192:E1192"/>
    <mergeCell ref="A1123:G1123"/>
    <mergeCell ref="A1151:B1151"/>
    <mergeCell ref="D1151:F1151"/>
    <mergeCell ref="A1152:B1152"/>
    <mergeCell ref="B1112:E1112"/>
    <mergeCell ref="A1121:G1121"/>
    <mergeCell ref="A1122:G1122"/>
    <mergeCell ref="C1095:D1095"/>
    <mergeCell ref="D1486:E1486"/>
    <mergeCell ref="C1488:D1488"/>
    <mergeCell ref="C1489:D1489"/>
    <mergeCell ref="B1494:E1494"/>
    <mergeCell ref="A1496:B1496"/>
    <mergeCell ref="D1496:F1496"/>
    <mergeCell ref="A1497:B1497"/>
    <mergeCell ref="D1497:F1497"/>
    <mergeCell ref="A1198:B1198"/>
    <mergeCell ref="E1198:F1198"/>
    <mergeCell ref="A1199:B1199"/>
    <mergeCell ref="D1199:F1199"/>
    <mergeCell ref="D1152:F1152"/>
    <mergeCell ref="A1155:B1155"/>
    <mergeCell ref="E1155:F1155"/>
    <mergeCell ref="A1156:B1156"/>
    <mergeCell ref="D1156:F1156"/>
    <mergeCell ref="A1194:B1194"/>
    <mergeCell ref="D1194:F1194"/>
    <mergeCell ref="A1195:B1195"/>
    <mergeCell ref="D1195:F1195"/>
    <mergeCell ref="A1478:G1478"/>
    <mergeCell ref="A1479:G1479"/>
    <mergeCell ref="A1500:B1500"/>
    <mergeCell ref="E1500:F1500"/>
    <mergeCell ref="A1501:B1501"/>
    <mergeCell ref="D1501:F1501"/>
    <mergeCell ref="E313:F313"/>
    <mergeCell ref="A314:B314"/>
    <mergeCell ref="D314:F314"/>
    <mergeCell ref="A350:B350"/>
    <mergeCell ref="D350:F350"/>
    <mergeCell ref="A351:B351"/>
    <mergeCell ref="D351:F351"/>
    <mergeCell ref="A354:B354"/>
    <mergeCell ref="E354:F354"/>
    <mergeCell ref="A317:F317"/>
    <mergeCell ref="A318:F318"/>
    <mergeCell ref="A319:F319"/>
    <mergeCell ref="C327:D327"/>
    <mergeCell ref="C328:D328"/>
    <mergeCell ref="A355:B355"/>
    <mergeCell ref="D355:F355"/>
    <mergeCell ref="A391:B391"/>
    <mergeCell ref="D391:F391"/>
    <mergeCell ref="A392:B392"/>
    <mergeCell ref="D392:F392"/>
    <mergeCell ref="A395:B395"/>
    <mergeCell ref="E395:F395"/>
    <mergeCell ref="D431:F431"/>
    <mergeCell ref="A434:B434"/>
    <mergeCell ref="E434:F434"/>
    <mergeCell ref="A435:B435"/>
    <mergeCell ref="D435:F435"/>
    <mergeCell ref="A465:B465"/>
    <mergeCell ref="D465:F465"/>
    <mergeCell ref="A439:F439"/>
    <mergeCell ref="D445:E445"/>
    <mergeCell ref="C447:D447"/>
    <mergeCell ref="C448:D448"/>
    <mergeCell ref="A396:B396"/>
    <mergeCell ref="D396:F396"/>
    <mergeCell ref="A466:B466"/>
    <mergeCell ref="D466:F466"/>
    <mergeCell ref="A469:B469"/>
    <mergeCell ref="E469:F469"/>
    <mergeCell ref="A470:B470"/>
    <mergeCell ref="D470:F470"/>
    <mergeCell ref="A497:B497"/>
    <mergeCell ref="D497:F497"/>
    <mergeCell ref="A498:B498"/>
    <mergeCell ref="D498:F498"/>
    <mergeCell ref="A501:B501"/>
    <mergeCell ref="E501:F501"/>
    <mergeCell ref="B495:E495"/>
    <mergeCell ref="A677:B677"/>
    <mergeCell ref="D677:F677"/>
    <mergeCell ref="A678:B678"/>
    <mergeCell ref="D678:F678"/>
    <mergeCell ref="A681:B681"/>
    <mergeCell ref="E681:F681"/>
    <mergeCell ref="D544:F544"/>
    <mergeCell ref="B570:E570"/>
    <mergeCell ref="C557:D557"/>
    <mergeCell ref="A572:B572"/>
    <mergeCell ref="D572:F572"/>
    <mergeCell ref="A573:B573"/>
    <mergeCell ref="D573:F573"/>
    <mergeCell ref="A576:B576"/>
    <mergeCell ref="E576:F576"/>
    <mergeCell ref="A577:B577"/>
    <mergeCell ref="D577:F577"/>
    <mergeCell ref="A578:F578"/>
    <mergeCell ref="A579:F579"/>
    <mergeCell ref="A580:F580"/>
    <mergeCell ref="C588:D588"/>
    <mergeCell ref="A682:B682"/>
    <mergeCell ref="D682:F682"/>
    <mergeCell ref="A704:B704"/>
    <mergeCell ref="D704:F704"/>
    <mergeCell ref="A729:B729"/>
    <mergeCell ref="D729:F729"/>
    <mergeCell ref="A730:B730"/>
    <mergeCell ref="D730:F730"/>
    <mergeCell ref="A733:B733"/>
    <mergeCell ref="E733:F733"/>
    <mergeCell ref="A734:B734"/>
    <mergeCell ref="D734:F734"/>
    <mergeCell ref="A759:B759"/>
    <mergeCell ref="D759:F759"/>
    <mergeCell ref="A735:G735"/>
    <mergeCell ref="A736:G736"/>
    <mergeCell ref="A737:G737"/>
    <mergeCell ref="C745:D745"/>
    <mergeCell ref="C746:D746"/>
    <mergeCell ref="A757:E757"/>
    <mergeCell ref="A760:B760"/>
    <mergeCell ref="D760:F760"/>
    <mergeCell ref="A763:B763"/>
    <mergeCell ref="E763:F763"/>
    <mergeCell ref="A764:B764"/>
    <mergeCell ref="D764:F764"/>
    <mergeCell ref="A802:B802"/>
    <mergeCell ref="D802:F802"/>
    <mergeCell ref="A803:B803"/>
    <mergeCell ref="D803:F803"/>
    <mergeCell ref="A767:G767"/>
    <mergeCell ref="A768:G768"/>
    <mergeCell ref="C776:D776"/>
    <mergeCell ref="A801:E801"/>
    <mergeCell ref="C775:D775"/>
    <mergeCell ref="A806:B806"/>
    <mergeCell ref="E806:F806"/>
    <mergeCell ref="A807:B807"/>
    <mergeCell ref="D807:F807"/>
    <mergeCell ref="A843:B843"/>
    <mergeCell ref="D843:F843"/>
    <mergeCell ref="A844:B844"/>
    <mergeCell ref="D844:F844"/>
    <mergeCell ref="A847:B847"/>
    <mergeCell ref="E847:F847"/>
    <mergeCell ref="B828:E828"/>
    <mergeCell ref="B832:E832"/>
    <mergeCell ref="B841:E841"/>
    <mergeCell ref="B842:E842"/>
    <mergeCell ref="C819:D819"/>
    <mergeCell ref="C820:D820"/>
    <mergeCell ref="A810:G810"/>
    <mergeCell ref="A917:B917"/>
    <mergeCell ref="D917:F917"/>
    <mergeCell ref="A918:B918"/>
    <mergeCell ref="D918:F918"/>
    <mergeCell ref="A921:B921"/>
    <mergeCell ref="E921:F921"/>
    <mergeCell ref="A922:B922"/>
    <mergeCell ref="D922:F922"/>
    <mergeCell ref="A984:B984"/>
    <mergeCell ref="D984:F984"/>
    <mergeCell ref="B983:E983"/>
    <mergeCell ref="A954:G954"/>
    <mergeCell ref="A955:G955"/>
    <mergeCell ref="A956:G956"/>
    <mergeCell ref="A963:B963"/>
    <mergeCell ref="C965:D965"/>
    <mergeCell ref="C966:D966"/>
    <mergeCell ref="C971:E971"/>
    <mergeCell ref="C975:E975"/>
    <mergeCell ref="C981:E981"/>
    <mergeCell ref="A985:B985"/>
    <mergeCell ref="D985:F985"/>
    <mergeCell ref="A988:B988"/>
    <mergeCell ref="E988:F988"/>
    <mergeCell ref="A989:B989"/>
    <mergeCell ref="D989:F989"/>
    <mergeCell ref="A1037:B1037"/>
    <mergeCell ref="D1037:F1037"/>
    <mergeCell ref="A1038:B1038"/>
    <mergeCell ref="D1038:F1038"/>
    <mergeCell ref="A990:G990"/>
    <mergeCell ref="A991:G991"/>
    <mergeCell ref="A992:G992"/>
    <mergeCell ref="D998:E998"/>
    <mergeCell ref="C1000:D1000"/>
    <mergeCell ref="C1001:D1001"/>
    <mergeCell ref="B1035:E1035"/>
    <mergeCell ref="A1041:B1041"/>
    <mergeCell ref="E1041:F1041"/>
    <mergeCell ref="A1042:B1042"/>
    <mergeCell ref="D1042:F1042"/>
    <mergeCell ref="A1076:B1076"/>
    <mergeCell ref="D1076:F1076"/>
    <mergeCell ref="A1077:B1077"/>
    <mergeCell ref="D1077:F1077"/>
    <mergeCell ref="A1080:B1080"/>
    <mergeCell ref="E1080:F1080"/>
    <mergeCell ref="A1043:G1043"/>
    <mergeCell ref="A1044:G1044"/>
    <mergeCell ref="A1045:G1045"/>
    <mergeCell ref="D1051:E1051"/>
    <mergeCell ref="C1053:D1053"/>
    <mergeCell ref="C1054:D1054"/>
    <mergeCell ref="B1074:E1074"/>
  </mergeCells>
  <pageMargins left="0.70866141732283472" right="0.70866141732283472" top="0.78740157480314965" bottom="1.1811023622047245" header="0.31496062992125984" footer="0.31496062992125984"/>
  <pageSetup paperSize="9" scale="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0EF2-AA53-42D1-9FDB-DDD853C37C0D}">
  <dimension ref="A1:E37"/>
  <sheetViews>
    <sheetView topLeftCell="A15" workbookViewId="0">
      <selection activeCell="D37" sqref="D37"/>
    </sheetView>
  </sheetViews>
  <sheetFormatPr defaultRowHeight="15" x14ac:dyDescent="0.25"/>
  <cols>
    <col min="1" max="1" width="14.85546875" customWidth="1"/>
    <col min="2" max="2" width="15.28515625" bestFit="1" customWidth="1"/>
    <col min="3" max="3" width="19.42578125" customWidth="1"/>
    <col min="4" max="4" width="14.28515625" bestFit="1" customWidth="1"/>
    <col min="5" max="5" width="19" bestFit="1" customWidth="1"/>
  </cols>
  <sheetData>
    <row r="1" spans="1:4" ht="26.25" customHeight="1" x14ac:dyDescent="0.25">
      <c r="A1" s="35" t="s">
        <v>2617</v>
      </c>
      <c r="B1" s="35" t="s">
        <v>2809</v>
      </c>
      <c r="C1" s="39" t="s">
        <v>2810</v>
      </c>
      <c r="D1" s="35" t="s">
        <v>2818</v>
      </c>
    </row>
    <row r="2" spans="1:4" x14ac:dyDescent="0.25">
      <c r="A2" s="1" t="s">
        <v>2623</v>
      </c>
      <c r="B2" s="91">
        <v>5500000</v>
      </c>
      <c r="C2" s="91">
        <v>55000</v>
      </c>
      <c r="D2" s="1546">
        <f>C2/B2</f>
        <v>0.01</v>
      </c>
    </row>
    <row r="3" spans="1:4" x14ac:dyDescent="0.25">
      <c r="A3" s="1" t="s">
        <v>2811</v>
      </c>
      <c r="B3" s="91">
        <v>3500000</v>
      </c>
      <c r="C3" s="31">
        <f>B3*D2</f>
        <v>35000</v>
      </c>
      <c r="D3" s="1546">
        <f>C3/B3</f>
        <v>0.01</v>
      </c>
    </row>
    <row r="4" spans="1:4" x14ac:dyDescent="0.25">
      <c r="A4" s="1" t="s">
        <v>2812</v>
      </c>
      <c r="B4" s="91">
        <v>3298116.5</v>
      </c>
      <c r="C4" s="31">
        <f>B4*D3</f>
        <v>32981.165000000001</v>
      </c>
      <c r="D4" s="1547">
        <v>0.01</v>
      </c>
    </row>
    <row r="5" spans="1:4" x14ac:dyDescent="0.25">
      <c r="A5" s="1" t="s">
        <v>2827</v>
      </c>
      <c r="B5" s="91">
        <v>3298116.5</v>
      </c>
      <c r="C5" s="31">
        <f>B5*D5</f>
        <v>32981.165000000001</v>
      </c>
      <c r="D5" s="1547">
        <v>0.01</v>
      </c>
    </row>
    <row r="6" spans="1:4" ht="30" x14ac:dyDescent="0.25">
      <c r="A6" s="39" t="s">
        <v>2813</v>
      </c>
      <c r="B6" s="39" t="s">
        <v>2828</v>
      </c>
      <c r="C6" s="39" t="s">
        <v>2817</v>
      </c>
      <c r="D6" s="35" t="s">
        <v>2818</v>
      </c>
    </row>
    <row r="7" spans="1:4" x14ac:dyDescent="0.25">
      <c r="A7" s="1" t="s">
        <v>2623</v>
      </c>
      <c r="B7" s="91">
        <f>5500000+8700000</f>
        <v>14200000</v>
      </c>
      <c r="C7" s="31">
        <f>B7*D7</f>
        <v>886080</v>
      </c>
      <c r="D7" s="1548">
        <v>6.2399999999999997E-2</v>
      </c>
    </row>
    <row r="8" spans="1:4" x14ac:dyDescent="0.25">
      <c r="A8" s="1" t="s">
        <v>2811</v>
      </c>
      <c r="B8" s="91">
        <f>3500000+4500000</f>
        <v>8000000</v>
      </c>
      <c r="C8" s="31">
        <f>B8*D8</f>
        <v>499200</v>
      </c>
      <c r="D8" s="1548">
        <v>6.2399999999999997E-2</v>
      </c>
    </row>
    <row r="9" spans="1:4" x14ac:dyDescent="0.25">
      <c r="A9" s="1" t="s">
        <v>2812</v>
      </c>
      <c r="B9" s="91">
        <f>2900000+2500000</f>
        <v>5400000</v>
      </c>
      <c r="C9" s="31">
        <f>B9*D9</f>
        <v>336960</v>
      </c>
      <c r="D9" s="1548">
        <v>6.2399999999999997E-2</v>
      </c>
    </row>
    <row r="10" spans="1:4" x14ac:dyDescent="0.25">
      <c r="A10" s="1" t="s">
        <v>2827</v>
      </c>
      <c r="B10" s="91">
        <f>2900000+2100000</f>
        <v>5000000</v>
      </c>
      <c r="C10" s="31">
        <f>B10*D10</f>
        <v>312000</v>
      </c>
      <c r="D10" s="1548">
        <v>6.2399999999999997E-2</v>
      </c>
    </row>
    <row r="11" spans="1:4" x14ac:dyDescent="0.25">
      <c r="A11" s="1" t="s">
        <v>1334</v>
      </c>
      <c r="B11" s="1"/>
      <c r="C11" s="1"/>
      <c r="D11" s="1"/>
    </row>
    <row r="12" spans="1:4" x14ac:dyDescent="0.25">
      <c r="A12" s="1" t="s">
        <v>2617</v>
      </c>
      <c r="B12" s="1" t="s">
        <v>665</v>
      </c>
      <c r="C12" s="1" t="s">
        <v>2815</v>
      </c>
      <c r="D12" s="1" t="s">
        <v>2816</v>
      </c>
    </row>
    <row r="13" spans="1:4" x14ac:dyDescent="0.25">
      <c r="A13" s="1" t="s">
        <v>188</v>
      </c>
      <c r="B13" s="91">
        <v>4700000</v>
      </c>
      <c r="C13" s="91">
        <v>188000</v>
      </c>
      <c r="D13" s="1547">
        <v>0.04</v>
      </c>
    </row>
    <row r="14" spans="1:4" x14ac:dyDescent="0.25">
      <c r="A14" s="1" t="s">
        <v>2814</v>
      </c>
      <c r="B14" s="91">
        <v>4300000</v>
      </c>
      <c r="C14" s="31">
        <f>B14*D13</f>
        <v>172000</v>
      </c>
      <c r="D14" s="1547">
        <v>0.04</v>
      </c>
    </row>
    <row r="15" spans="1:4" x14ac:dyDescent="0.25">
      <c r="A15" s="1" t="s">
        <v>1500</v>
      </c>
      <c r="B15" s="91">
        <v>3900000</v>
      </c>
      <c r="C15" s="31">
        <f>B15*D13</f>
        <v>156000</v>
      </c>
      <c r="D15" s="1547">
        <v>0.04</v>
      </c>
    </row>
    <row r="16" spans="1:4" x14ac:dyDescent="0.25">
      <c r="A16" s="1" t="s">
        <v>352</v>
      </c>
      <c r="B16" s="91">
        <v>3300000</v>
      </c>
      <c r="C16" s="31">
        <f>B16*D13</f>
        <v>132000</v>
      </c>
      <c r="D16" s="1547">
        <v>0.04</v>
      </c>
    </row>
    <row r="17" spans="1:5" x14ac:dyDescent="0.25">
      <c r="A17" s="1"/>
      <c r="B17" s="1"/>
      <c r="C17" s="1"/>
      <c r="D17" s="1"/>
    </row>
    <row r="18" spans="1:5" ht="30" x14ac:dyDescent="0.25">
      <c r="A18" s="4" t="s">
        <v>2620</v>
      </c>
      <c r="B18" s="1" t="s">
        <v>665</v>
      </c>
      <c r="C18" s="1" t="s">
        <v>2815</v>
      </c>
      <c r="D18" s="1" t="s">
        <v>2816</v>
      </c>
    </row>
    <row r="19" spans="1:5" x14ac:dyDescent="0.25">
      <c r="A19" s="1" t="s">
        <v>188</v>
      </c>
      <c r="B19" s="91">
        <v>4700000</v>
      </c>
      <c r="C19" s="91">
        <f>B19*D19</f>
        <v>293280</v>
      </c>
      <c r="D19" s="1548">
        <v>6.2399999999999997E-2</v>
      </c>
    </row>
    <row r="20" spans="1:5" x14ac:dyDescent="0.25">
      <c r="A20" s="1" t="s">
        <v>2814</v>
      </c>
      <c r="B20" s="91">
        <v>4300000</v>
      </c>
      <c r="C20" s="91">
        <f>B20*D20</f>
        <v>268320</v>
      </c>
      <c r="D20" s="1548">
        <v>6.2399999999999997E-2</v>
      </c>
      <c r="E20" s="1545"/>
    </row>
    <row r="21" spans="1:5" x14ac:dyDescent="0.25">
      <c r="A21" s="1" t="s">
        <v>1500</v>
      </c>
      <c r="B21" s="91">
        <v>3900000</v>
      </c>
      <c r="C21" s="91">
        <f>B21*D21</f>
        <v>243360</v>
      </c>
      <c r="D21" s="1548">
        <v>6.2399999999999997E-2</v>
      </c>
    </row>
    <row r="22" spans="1:5" x14ac:dyDescent="0.25">
      <c r="A22" s="1" t="s">
        <v>352</v>
      </c>
      <c r="B22" s="91">
        <v>3300000</v>
      </c>
      <c r="C22" s="91">
        <f>B22*D22</f>
        <v>205920</v>
      </c>
      <c r="D22" s="1548">
        <v>6.2399999999999997E-2</v>
      </c>
    </row>
    <row r="25" spans="1:5" x14ac:dyDescent="0.25">
      <c r="A25" s="1" t="s">
        <v>2617</v>
      </c>
      <c r="B25" s="1" t="s">
        <v>2824</v>
      </c>
      <c r="C25" s="1" t="s">
        <v>2815</v>
      </c>
      <c r="D25" s="1" t="s">
        <v>2816</v>
      </c>
    </row>
    <row r="26" spans="1:5" x14ac:dyDescent="0.25">
      <c r="A26" s="1" t="s">
        <v>2819</v>
      </c>
      <c r="B26" s="91">
        <v>3298116.5</v>
      </c>
      <c r="C26" s="31">
        <f>B26*D26</f>
        <v>131924.66</v>
      </c>
      <c r="D26" s="1547">
        <v>0.04</v>
      </c>
    </row>
    <row r="27" spans="1:5" x14ac:dyDescent="0.25">
      <c r="A27" s="1" t="s">
        <v>2820</v>
      </c>
      <c r="B27" s="91">
        <v>3400000</v>
      </c>
      <c r="C27" s="31">
        <f>B27*D27</f>
        <v>136000</v>
      </c>
      <c r="D27" s="1547">
        <v>0.04</v>
      </c>
    </row>
    <row r="28" spans="1:5" x14ac:dyDescent="0.25">
      <c r="A28" s="1" t="s">
        <v>2821</v>
      </c>
      <c r="B28" s="91">
        <v>3400000</v>
      </c>
      <c r="C28" s="31">
        <f>B28*D28</f>
        <v>136000</v>
      </c>
      <c r="D28" s="1547">
        <v>0.04</v>
      </c>
    </row>
    <row r="29" spans="1:5" x14ac:dyDescent="0.25">
      <c r="A29" s="1" t="s">
        <v>2822</v>
      </c>
      <c r="B29" s="91">
        <v>3298116.5</v>
      </c>
      <c r="C29" s="31">
        <f>B29*D29</f>
        <v>131924.66</v>
      </c>
      <c r="D29" s="1547">
        <v>0.04</v>
      </c>
    </row>
    <row r="30" spans="1:5" x14ac:dyDescent="0.25">
      <c r="A30" s="1" t="s">
        <v>2823</v>
      </c>
      <c r="B30" s="91">
        <v>3298116.5</v>
      </c>
      <c r="C30" s="31">
        <f>B30*D30</f>
        <v>131924.66</v>
      </c>
      <c r="D30" s="1547">
        <v>0.04</v>
      </c>
    </row>
    <row r="31" spans="1:5" x14ac:dyDescent="0.25">
      <c r="A31" s="1"/>
      <c r="B31" s="1"/>
      <c r="C31" s="1"/>
      <c r="D31" s="1"/>
    </row>
    <row r="32" spans="1:5" x14ac:dyDescent="0.25">
      <c r="A32" s="1" t="s">
        <v>2826</v>
      </c>
      <c r="B32" s="1"/>
      <c r="C32" s="1"/>
      <c r="D32" s="1"/>
    </row>
    <row r="33" spans="1:4" ht="30" x14ac:dyDescent="0.25">
      <c r="A33" s="4" t="s">
        <v>2620</v>
      </c>
      <c r="B33" s="1" t="s">
        <v>2824</v>
      </c>
      <c r="C33" s="1" t="s">
        <v>2815</v>
      </c>
      <c r="D33" s="1" t="s">
        <v>2816</v>
      </c>
    </row>
    <row r="34" spans="1:4" x14ac:dyDescent="0.25">
      <c r="A34" s="1" t="s">
        <v>2812</v>
      </c>
      <c r="B34" s="91">
        <v>3298116.5</v>
      </c>
      <c r="C34" s="31">
        <f>B34*D34</f>
        <v>17809.829100000003</v>
      </c>
      <c r="D34" s="1549">
        <v>5.4000000000000003E-3</v>
      </c>
    </row>
    <row r="35" spans="1:4" x14ac:dyDescent="0.25">
      <c r="A35" s="1" t="s">
        <v>2825</v>
      </c>
      <c r="B35" s="91">
        <v>3400000</v>
      </c>
      <c r="C35" s="31">
        <f>B35*D34</f>
        <v>18360</v>
      </c>
      <c r="D35" s="1549">
        <v>5.4000000000000003E-3</v>
      </c>
    </row>
    <row r="36" spans="1:4" x14ac:dyDescent="0.25">
      <c r="A36" s="1" t="s">
        <v>2821</v>
      </c>
      <c r="B36" s="91">
        <v>3400000</v>
      </c>
      <c r="C36" s="91">
        <f>B36*D36</f>
        <v>18360</v>
      </c>
      <c r="D36" s="1549">
        <v>5.4000000000000003E-3</v>
      </c>
    </row>
    <row r="37" spans="1:4" x14ac:dyDescent="0.25">
      <c r="A37" s="1" t="s">
        <v>2823</v>
      </c>
      <c r="B37" s="91">
        <v>3298116.5</v>
      </c>
      <c r="C37" s="91">
        <f>B37*D37</f>
        <v>17809.829100000003</v>
      </c>
      <c r="D37" s="1549">
        <v>5.4000000000000003E-3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B2A1-218A-4B7C-8E53-792436E2977D}">
  <dimension ref="A1:B8"/>
  <sheetViews>
    <sheetView workbookViewId="0">
      <selection activeCell="B8" sqref="B8"/>
    </sheetView>
  </sheetViews>
  <sheetFormatPr defaultRowHeight="15" x14ac:dyDescent="0.25"/>
  <cols>
    <col min="1" max="1" width="15.7109375" customWidth="1"/>
  </cols>
  <sheetData>
    <row r="1" spans="1:2" x14ac:dyDescent="0.25">
      <c r="A1" s="5" t="s">
        <v>2830</v>
      </c>
      <c r="B1" t="s">
        <v>279</v>
      </c>
    </row>
    <row r="2" spans="1:2" x14ac:dyDescent="0.25">
      <c r="A2" t="s">
        <v>2829</v>
      </c>
      <c r="B2">
        <v>1</v>
      </c>
    </row>
    <row r="3" spans="1:2" x14ac:dyDescent="0.25">
      <c r="A3" t="s">
        <v>2831</v>
      </c>
      <c r="B3">
        <v>1</v>
      </c>
    </row>
    <row r="4" spans="1:2" x14ac:dyDescent="0.25">
      <c r="A4" t="s">
        <v>2832</v>
      </c>
      <c r="B4">
        <v>3</v>
      </c>
    </row>
    <row r="5" spans="1:2" x14ac:dyDescent="0.25">
      <c r="A5" t="s">
        <v>2833</v>
      </c>
      <c r="B5">
        <v>2</v>
      </c>
    </row>
    <row r="6" spans="1:2" x14ac:dyDescent="0.25">
      <c r="A6" t="s">
        <v>2834</v>
      </c>
      <c r="B6">
        <v>1</v>
      </c>
    </row>
    <row r="7" spans="1:2" x14ac:dyDescent="0.25">
      <c r="A7" t="s">
        <v>2835</v>
      </c>
      <c r="B7">
        <v>1</v>
      </c>
    </row>
    <row r="8" spans="1:2" x14ac:dyDescent="0.25">
      <c r="B8">
        <f>SUM(B2:B7)</f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79"/>
  <sheetViews>
    <sheetView topLeftCell="A9" zoomScale="80" zoomScaleNormal="80" workbookViewId="0">
      <pane ySplit="2070" topLeftCell="A175" activePane="bottomLeft"/>
      <selection activeCell="A9" sqref="A1:XFD1048576"/>
      <selection pane="bottomLeft" activeCell="A177" sqref="A177:K177"/>
    </sheetView>
  </sheetViews>
  <sheetFormatPr defaultRowHeight="15" x14ac:dyDescent="0.25"/>
  <cols>
    <col min="1" max="1" width="13.7109375" customWidth="1"/>
    <col min="2" max="2" width="24.140625" style="5" customWidth="1"/>
    <col min="3" max="3" width="4.42578125" customWidth="1"/>
    <col min="4" max="4" width="29.5703125" style="5" customWidth="1"/>
    <col min="5" max="5" width="51.85546875" customWidth="1"/>
    <col min="6" max="6" width="14.85546875" customWidth="1"/>
    <col min="7" max="7" width="18" customWidth="1"/>
    <col min="8" max="8" width="11" customWidth="1"/>
    <col min="9" max="9" width="13.28515625" customWidth="1"/>
    <col min="10" max="10" width="15.140625" customWidth="1"/>
    <col min="11" max="11" width="16.28515625" customWidth="1"/>
    <col min="12" max="12" width="19.5703125" style="3" customWidth="1"/>
    <col min="13" max="13" width="12.85546875" style="129" customWidth="1"/>
    <col min="14" max="14" width="27.42578125" customWidth="1"/>
    <col min="15" max="15" width="21.5703125" customWidth="1"/>
  </cols>
  <sheetData>
    <row r="1" spans="1:15" s="7" customFormat="1" ht="29.25" customHeight="1" x14ac:dyDescent="0.25">
      <c r="A1" s="2072" t="s">
        <v>1065</v>
      </c>
      <c r="B1" s="2072"/>
      <c r="C1" s="2072"/>
      <c r="D1" s="2072"/>
      <c r="E1" s="2072"/>
      <c r="F1" s="2072"/>
      <c r="G1" s="2072"/>
      <c r="H1" s="2072"/>
      <c r="I1" s="2072"/>
      <c r="J1" s="2072"/>
      <c r="K1" s="2072"/>
      <c r="L1" s="2072"/>
      <c r="M1" s="2072"/>
      <c r="N1" s="2072"/>
      <c r="O1" s="6"/>
    </row>
    <row r="2" spans="1:15" s="7" customFormat="1" ht="23.25" customHeight="1" x14ac:dyDescent="0.25">
      <c r="A2" s="2072" t="s">
        <v>2191</v>
      </c>
      <c r="B2" s="2072"/>
      <c r="C2" s="2072"/>
      <c r="D2" s="2072"/>
      <c r="E2" s="2072"/>
      <c r="F2" s="2072"/>
      <c r="G2" s="2072"/>
      <c r="H2" s="2072"/>
      <c r="I2" s="2072"/>
      <c r="J2" s="2072"/>
      <c r="K2" s="2072"/>
      <c r="L2" s="2072"/>
      <c r="M2" s="2072"/>
      <c r="N2" s="2072"/>
      <c r="O2" s="6"/>
    </row>
    <row r="3" spans="1:15" s="7" customFormat="1" ht="15.75" x14ac:dyDescent="0.25">
      <c r="B3" s="8"/>
      <c r="D3" s="8"/>
      <c r="H3" s="8"/>
      <c r="J3" s="9"/>
      <c r="L3" s="1119"/>
      <c r="M3" s="144"/>
      <c r="O3" s="6"/>
    </row>
    <row r="4" spans="1:15" s="7" customFormat="1" ht="31.5" x14ac:dyDescent="0.25">
      <c r="A4" s="7" t="s">
        <v>1066</v>
      </c>
      <c r="B4" s="8" t="s">
        <v>1067</v>
      </c>
      <c r="D4" s="8"/>
      <c r="H4" s="8"/>
      <c r="J4" s="9"/>
      <c r="L4" s="1119"/>
      <c r="M4" s="144"/>
      <c r="O4" s="6"/>
    </row>
    <row r="5" spans="1:15" s="7" customFormat="1" ht="31.5" x14ac:dyDescent="0.25">
      <c r="A5" s="7" t="s">
        <v>1068</v>
      </c>
      <c r="B5" s="8" t="s">
        <v>1069</v>
      </c>
      <c r="D5" s="8"/>
      <c r="H5" s="8"/>
      <c r="J5" s="9"/>
      <c r="L5" s="1119"/>
      <c r="M5" s="144"/>
      <c r="O5" s="6"/>
    </row>
    <row r="6" spans="1:15" s="7" customFormat="1" ht="15.75" x14ac:dyDescent="0.25">
      <c r="A6" s="7" t="s">
        <v>1070</v>
      </c>
      <c r="B6" s="8" t="s">
        <v>1071</v>
      </c>
      <c r="D6" s="8"/>
      <c r="H6" s="8"/>
      <c r="J6" s="9"/>
      <c r="L6" s="1119"/>
      <c r="M6" s="144"/>
      <c r="O6" s="6"/>
    </row>
    <row r="7" spans="1:15" s="7" customFormat="1" ht="15.75" x14ac:dyDescent="0.25">
      <c r="A7" s="7" t="s">
        <v>1072</v>
      </c>
      <c r="B7" s="8" t="s">
        <v>1073</v>
      </c>
      <c r="D7" s="8"/>
      <c r="H7" s="8"/>
      <c r="J7" s="9"/>
      <c r="L7" s="1119"/>
      <c r="M7" s="144"/>
      <c r="O7" s="6"/>
    </row>
    <row r="8" spans="1:15" s="7" customFormat="1" ht="15.75" x14ac:dyDescent="0.25">
      <c r="B8" s="8"/>
      <c r="D8" s="8"/>
      <c r="H8" s="8"/>
      <c r="J8" s="9"/>
      <c r="L8" s="1119"/>
      <c r="M8" s="144"/>
      <c r="O8" s="6"/>
    </row>
    <row r="9" spans="1:15" s="7" customFormat="1" ht="72.75" customHeight="1" x14ac:dyDescent="0.25">
      <c r="A9" s="10" t="s">
        <v>1039</v>
      </c>
      <c r="B9" s="2073" t="s">
        <v>1074</v>
      </c>
      <c r="C9" s="2073"/>
      <c r="D9" s="2073"/>
      <c r="E9" s="11" t="s">
        <v>1075</v>
      </c>
      <c r="F9" s="11" t="s">
        <v>1076</v>
      </c>
      <c r="G9" s="11" t="s">
        <v>2192</v>
      </c>
      <c r="H9" s="11" t="s">
        <v>1077</v>
      </c>
      <c r="I9" s="11" t="s">
        <v>1078</v>
      </c>
      <c r="J9" s="11" t="s">
        <v>1079</v>
      </c>
      <c r="K9" s="11" t="s">
        <v>422</v>
      </c>
      <c r="L9" s="2074" t="s">
        <v>1080</v>
      </c>
      <c r="M9" s="2074"/>
      <c r="N9" s="2074" t="s">
        <v>1081</v>
      </c>
      <c r="O9" s="2071" t="s">
        <v>1082</v>
      </c>
    </row>
    <row r="10" spans="1:15" s="7" customFormat="1" ht="15.75" x14ac:dyDescent="0.25">
      <c r="A10" s="12"/>
      <c r="B10" s="14" t="s">
        <v>1083</v>
      </c>
      <c r="C10" s="13"/>
      <c r="D10" s="14" t="s">
        <v>474</v>
      </c>
      <c r="E10" s="12"/>
      <c r="F10" s="12"/>
      <c r="G10" s="12"/>
      <c r="H10" s="1120"/>
      <c r="I10" s="12"/>
      <c r="J10" s="15"/>
      <c r="K10" s="12"/>
      <c r="L10" s="138" t="s">
        <v>1085</v>
      </c>
      <c r="M10" s="13" t="s">
        <v>1086</v>
      </c>
      <c r="N10" s="2074"/>
      <c r="O10" s="2071"/>
    </row>
    <row r="11" spans="1:15" s="7" customFormat="1" ht="18" customHeight="1" x14ac:dyDescent="0.25">
      <c r="A11" s="13" t="s">
        <v>1087</v>
      </c>
      <c r="B11" s="14" t="s">
        <v>1088</v>
      </c>
      <c r="C11" s="13" t="s">
        <v>1089</v>
      </c>
      <c r="D11" s="14" t="s">
        <v>1090</v>
      </c>
      <c r="E11" s="13" t="s">
        <v>1091</v>
      </c>
      <c r="F11" s="13" t="s">
        <v>1092</v>
      </c>
      <c r="G11" s="13" t="s">
        <v>1093</v>
      </c>
      <c r="H11" s="14" t="s">
        <v>1094</v>
      </c>
      <c r="I11" s="13" t="s">
        <v>1095</v>
      </c>
      <c r="J11" s="10" t="s">
        <v>1096</v>
      </c>
      <c r="K11" s="13" t="s">
        <v>1097</v>
      </c>
      <c r="L11" s="138" t="s">
        <v>1098</v>
      </c>
      <c r="M11" s="13" t="s">
        <v>488</v>
      </c>
      <c r="N11" s="13" t="s">
        <v>1099</v>
      </c>
      <c r="O11" s="6" t="s">
        <v>1100</v>
      </c>
    </row>
    <row r="12" spans="1:15" ht="60" x14ac:dyDescent="0.25">
      <c r="A12" s="1">
        <v>1</v>
      </c>
      <c r="B12" s="4" t="str">
        <f>'BID I'!B5</f>
        <v>: Penyelenggaraan Pemerintahan Desa</v>
      </c>
      <c r="C12" s="34">
        <v>1</v>
      </c>
      <c r="D12" s="4" t="str">
        <f>'BID I'!B7</f>
        <v>: Penyediaan Penghasilan tetap dan Tunjangan Perbekel</v>
      </c>
      <c r="E12" s="1" t="s">
        <v>2170</v>
      </c>
      <c r="F12" s="4" t="s">
        <v>1621</v>
      </c>
      <c r="G12" s="165">
        <v>1</v>
      </c>
      <c r="H12" s="4" t="s">
        <v>1102</v>
      </c>
      <c r="I12" s="1" t="s">
        <v>1622</v>
      </c>
      <c r="J12" s="1" t="s">
        <v>1623</v>
      </c>
      <c r="K12" s="1" t="s">
        <v>260</v>
      </c>
      <c r="L12" s="118">
        <f>'BID I'!F20</f>
        <v>180740000</v>
      </c>
      <c r="M12" s="35" t="s">
        <v>1104</v>
      </c>
      <c r="N12" s="35" t="s">
        <v>1105</v>
      </c>
    </row>
    <row r="13" spans="1:15" ht="60" x14ac:dyDescent="0.25">
      <c r="A13" s="1"/>
      <c r="B13" s="4"/>
      <c r="C13" s="34">
        <v>2</v>
      </c>
      <c r="D13" s="4" t="str">
        <f>'BID I'!B35</f>
        <v>: Penyediaan Penghasilan tetap dan Tunjangan Perangkat Desa</v>
      </c>
      <c r="E13" s="1" t="s">
        <v>2170</v>
      </c>
      <c r="F13" s="4" t="s">
        <v>1624</v>
      </c>
      <c r="G13" s="165">
        <v>1</v>
      </c>
      <c r="H13" s="4" t="s">
        <v>1102</v>
      </c>
      <c r="I13" s="1" t="s">
        <v>1622</v>
      </c>
      <c r="J13" s="1" t="s">
        <v>1625</v>
      </c>
      <c r="K13" s="1" t="s">
        <v>260</v>
      </c>
      <c r="L13" s="118">
        <f>'BID I'!F61</f>
        <v>1050277376</v>
      </c>
      <c r="M13" s="35" t="s">
        <v>1104</v>
      </c>
      <c r="N13" s="35" t="s">
        <v>1105</v>
      </c>
    </row>
    <row r="14" spans="1:15" ht="60" x14ac:dyDescent="0.25">
      <c r="A14" s="1"/>
      <c r="B14" s="4"/>
      <c r="C14" s="34">
        <v>3</v>
      </c>
      <c r="D14" s="4" t="str">
        <f>'BID I'!B75</f>
        <v>Penyediaan Jaminan Kesehatan dan Ketenaga Kerjaan Bagi Perbekel dan Perangkat Desa</v>
      </c>
      <c r="E14" s="1" t="s">
        <v>2170</v>
      </c>
      <c r="F14" s="4" t="s">
        <v>1626</v>
      </c>
      <c r="G14" s="165">
        <v>1</v>
      </c>
      <c r="H14" s="4" t="s">
        <v>1102</v>
      </c>
      <c r="I14" s="1" t="s">
        <v>1103</v>
      </c>
      <c r="J14" s="1" t="s">
        <v>1627</v>
      </c>
      <c r="K14" s="1" t="s">
        <v>260</v>
      </c>
      <c r="L14" s="118">
        <f>'BID I'!F93</f>
        <v>77457316.560000002</v>
      </c>
      <c r="M14" s="35" t="s">
        <v>1104</v>
      </c>
      <c r="N14" s="35" t="s">
        <v>1105</v>
      </c>
    </row>
    <row r="15" spans="1:15" ht="60" x14ac:dyDescent="0.25">
      <c r="A15" s="1"/>
      <c r="B15" s="4"/>
      <c r="C15" s="34">
        <v>4</v>
      </c>
      <c r="D15" s="4" t="str">
        <f>'BID I'!B109</f>
        <v>: Penyediaan Operasional Pemerintah Desa</v>
      </c>
      <c r="E15" s="1" t="s">
        <v>2170</v>
      </c>
      <c r="F15" s="4" t="s">
        <v>1628</v>
      </c>
      <c r="G15" s="165">
        <v>1</v>
      </c>
      <c r="H15" s="4" t="s">
        <v>1102</v>
      </c>
      <c r="I15" s="1" t="s">
        <v>2171</v>
      </c>
      <c r="J15" s="1"/>
      <c r="K15" s="1"/>
      <c r="L15" s="118">
        <f>'BID I'!F276</f>
        <v>595935188</v>
      </c>
      <c r="M15" s="35" t="s">
        <v>1104</v>
      </c>
      <c r="N15" s="35" t="s">
        <v>1105</v>
      </c>
    </row>
    <row r="16" spans="1:15" ht="60" x14ac:dyDescent="0.25">
      <c r="A16" s="1"/>
      <c r="B16" s="4"/>
      <c r="C16" s="34">
        <v>5</v>
      </c>
      <c r="D16" s="4" t="str">
        <f>'BID I'!B292</f>
        <v>: Penyediaan Oprasional Pemerinthanan Desa ( Kegiatan Rapat - Rapat)</v>
      </c>
      <c r="E16" s="1" t="s">
        <v>2170</v>
      </c>
      <c r="F16" s="18" t="s">
        <v>1135</v>
      </c>
      <c r="G16" s="165">
        <v>1</v>
      </c>
      <c r="H16" s="4" t="s">
        <v>1102</v>
      </c>
      <c r="I16" s="19" t="s">
        <v>1103</v>
      </c>
      <c r="J16" s="20" t="s">
        <v>1629</v>
      </c>
      <c r="K16" s="1118" t="s">
        <v>1630</v>
      </c>
      <c r="L16" s="118">
        <f>'BID I'!F307</f>
        <v>28980000</v>
      </c>
      <c r="M16" s="35" t="s">
        <v>1104</v>
      </c>
      <c r="N16" s="35" t="s">
        <v>1105</v>
      </c>
    </row>
    <row r="17" spans="1:14" ht="47.25" x14ac:dyDescent="0.25">
      <c r="A17" s="1"/>
      <c r="B17" s="4"/>
      <c r="C17" s="34">
        <v>6</v>
      </c>
      <c r="D17" s="4" t="str">
        <f>'BID I'!B323</f>
        <v>: Penyediaan tunjangan BPD</v>
      </c>
      <c r="E17" s="1" t="s">
        <v>2170</v>
      </c>
      <c r="F17" s="18" t="s">
        <v>1136</v>
      </c>
      <c r="G17" s="169">
        <v>1</v>
      </c>
      <c r="H17" s="18" t="s">
        <v>1102</v>
      </c>
      <c r="I17" s="19" t="s">
        <v>1103</v>
      </c>
      <c r="J17" s="20" t="s">
        <v>1631</v>
      </c>
      <c r="K17" s="1118" t="s">
        <v>1630</v>
      </c>
      <c r="L17" s="118">
        <f>'BID I'!F349</f>
        <v>457800000</v>
      </c>
      <c r="M17" s="35" t="s">
        <v>1104</v>
      </c>
      <c r="N17" s="35" t="s">
        <v>1105</v>
      </c>
    </row>
    <row r="18" spans="1:14" ht="47.25" x14ac:dyDescent="0.25">
      <c r="A18" s="1"/>
      <c r="B18" s="4"/>
      <c r="C18" s="34">
        <v>7</v>
      </c>
      <c r="D18" s="4" t="str">
        <f>'BID I'!B365</f>
        <v>: Penyediaan Operasional BPD</v>
      </c>
      <c r="E18" s="1" t="s">
        <v>2170</v>
      </c>
      <c r="F18" s="18" t="s">
        <v>1137</v>
      </c>
      <c r="G18" s="169">
        <v>1</v>
      </c>
      <c r="H18" s="18" t="s">
        <v>1102</v>
      </c>
      <c r="I18" s="19" t="s">
        <v>1138</v>
      </c>
      <c r="J18" s="20" t="s">
        <v>1632</v>
      </c>
      <c r="K18" s="1118" t="s">
        <v>1630</v>
      </c>
      <c r="L18" s="118">
        <f>'BID I'!F390</f>
        <v>15974000</v>
      </c>
      <c r="M18" s="35" t="s">
        <v>1104</v>
      </c>
      <c r="N18" s="35" t="s">
        <v>1105</v>
      </c>
    </row>
    <row r="19" spans="1:14" ht="63" x14ac:dyDescent="0.25">
      <c r="A19" s="1"/>
      <c r="B19" s="4"/>
      <c r="C19" s="34">
        <v>8</v>
      </c>
      <c r="D19" s="4" t="str">
        <f>'BID I'!B406</f>
        <v>: Penyediaan Operasional BPD (Musyawarah BPD)</v>
      </c>
      <c r="E19" s="1" t="s">
        <v>2170</v>
      </c>
      <c r="F19" s="18" t="s">
        <v>1139</v>
      </c>
      <c r="G19" s="169">
        <v>1</v>
      </c>
      <c r="H19" s="18" t="s">
        <v>1102</v>
      </c>
      <c r="I19" s="19" t="s">
        <v>1140</v>
      </c>
      <c r="J19" s="38" t="s">
        <v>2196</v>
      </c>
      <c r="K19" s="1118" t="s">
        <v>1630</v>
      </c>
      <c r="L19" s="118">
        <f>'BID I'!F428</f>
        <v>12400000</v>
      </c>
      <c r="M19" s="35" t="s">
        <v>1104</v>
      </c>
      <c r="N19" s="35" t="s">
        <v>1105</v>
      </c>
    </row>
    <row r="20" spans="1:14" ht="42.75" customHeight="1" x14ac:dyDescent="0.25">
      <c r="A20" s="1"/>
      <c r="B20" s="4"/>
      <c r="C20" s="34">
        <v>9</v>
      </c>
      <c r="D20" s="4" t="str">
        <f>'BID I'!B443</f>
        <v>: Penyediaan Operasional BPD (Rapat FKAKD)</v>
      </c>
      <c r="E20" s="1" t="s">
        <v>2170</v>
      </c>
      <c r="F20" s="4" t="s">
        <v>2172</v>
      </c>
      <c r="G20" s="169">
        <v>1</v>
      </c>
      <c r="H20" s="18" t="s">
        <v>1102</v>
      </c>
      <c r="I20" s="19" t="s">
        <v>2173</v>
      </c>
      <c r="J20" s="38" t="s">
        <v>2196</v>
      </c>
      <c r="K20" s="1118" t="s">
        <v>1630</v>
      </c>
      <c r="L20" s="118">
        <f>'BID I'!F464</f>
        <v>6685000</v>
      </c>
      <c r="M20" s="35" t="s">
        <v>1104</v>
      </c>
      <c r="N20" s="35" t="s">
        <v>1105</v>
      </c>
    </row>
    <row r="21" spans="1:14" ht="47.25" x14ac:dyDescent="0.25">
      <c r="A21" s="1"/>
      <c r="B21" s="4"/>
      <c r="C21" s="34">
        <v>10</v>
      </c>
      <c r="D21" s="4" t="str">
        <f>'BID I'!B478</f>
        <v xml:space="preserve">: Penyediaan Penghasilan Staf Desa </v>
      </c>
      <c r="E21" s="1" t="s">
        <v>2170</v>
      </c>
      <c r="F21" s="18" t="s">
        <v>2174</v>
      </c>
      <c r="G21" s="169">
        <v>1</v>
      </c>
      <c r="H21" s="18" t="s">
        <v>1102</v>
      </c>
      <c r="I21" s="19" t="s">
        <v>1103</v>
      </c>
      <c r="J21" s="20" t="s">
        <v>2175</v>
      </c>
      <c r="K21" s="1118" t="s">
        <v>1630</v>
      </c>
      <c r="L21" s="118">
        <f>'BID I'!F495</f>
        <v>545773980</v>
      </c>
      <c r="M21" s="35" t="s">
        <v>1104</v>
      </c>
      <c r="N21" s="35" t="s">
        <v>1105</v>
      </c>
    </row>
    <row r="22" spans="1:14" ht="63" x14ac:dyDescent="0.25">
      <c r="A22" s="1"/>
      <c r="B22" s="4"/>
      <c r="C22" s="34">
        <v>11</v>
      </c>
      <c r="D22" s="4" t="str">
        <f>'BID I'!B510</f>
        <v>Penjaringan dan Penyaringan Perangkat Desa/Staf</v>
      </c>
      <c r="E22" s="1" t="s">
        <v>2170</v>
      </c>
      <c r="F22" s="18" t="s">
        <v>1355</v>
      </c>
      <c r="G22" s="169">
        <v>1</v>
      </c>
      <c r="H22" s="18" t="s">
        <v>1102</v>
      </c>
      <c r="I22" s="19" t="s">
        <v>1147</v>
      </c>
      <c r="J22" s="20" t="s">
        <v>1633</v>
      </c>
      <c r="K22" s="1118" t="s">
        <v>1630</v>
      </c>
      <c r="L22" s="118">
        <f>'BID I'!F538</f>
        <v>11505000</v>
      </c>
      <c r="M22" s="35" t="s">
        <v>1104</v>
      </c>
      <c r="N22" s="35" t="s">
        <v>1105</v>
      </c>
    </row>
    <row r="23" spans="1:14" ht="60" x14ac:dyDescent="0.25">
      <c r="A23" s="1"/>
      <c r="B23" s="4"/>
      <c r="C23" s="34">
        <v>12</v>
      </c>
      <c r="D23" s="4" t="str">
        <f>'BID I'!B552</f>
        <v>Penyedian Jaminan Keshatan dan ketenagakerjaan BPD</v>
      </c>
      <c r="E23" s="1" t="s">
        <v>2170</v>
      </c>
      <c r="F23" s="18" t="s">
        <v>1136</v>
      </c>
      <c r="G23" s="165">
        <v>1</v>
      </c>
      <c r="H23" s="4" t="s">
        <v>1102</v>
      </c>
      <c r="I23" s="1" t="s">
        <v>1638</v>
      </c>
      <c r="J23" s="1" t="s">
        <v>1639</v>
      </c>
      <c r="K23" s="1118" t="s">
        <v>1630</v>
      </c>
      <c r="L23" s="118">
        <f>'BID I'!F570</f>
        <v>40181760</v>
      </c>
      <c r="M23" s="35" t="s">
        <v>1104</v>
      </c>
      <c r="N23" s="35" t="s">
        <v>1105</v>
      </c>
    </row>
    <row r="24" spans="1:14" ht="60" x14ac:dyDescent="0.25">
      <c r="A24" s="1"/>
      <c r="B24" s="4"/>
      <c r="C24" s="34">
        <v>13</v>
      </c>
      <c r="D24" s="4" t="str">
        <f>'BID I'!B584</f>
        <v>Penyedian Jaminan Keshatan dan ketenagakerjaan Staf Desa</v>
      </c>
      <c r="E24" s="1" t="s">
        <v>2170</v>
      </c>
      <c r="F24" s="18" t="s">
        <v>2174</v>
      </c>
      <c r="G24" s="165">
        <v>1</v>
      </c>
      <c r="H24" s="4" t="s">
        <v>1102</v>
      </c>
      <c r="I24" s="1" t="s">
        <v>1638</v>
      </c>
      <c r="J24" s="1" t="s">
        <v>2176</v>
      </c>
      <c r="K24" s="1118" t="s">
        <v>1630</v>
      </c>
      <c r="L24" s="118">
        <f>'BID I'!F606</f>
        <v>27063220.440000009</v>
      </c>
      <c r="M24" s="35" t="s">
        <v>1104</v>
      </c>
      <c r="N24" s="35" t="s">
        <v>1105</v>
      </c>
    </row>
    <row r="25" spans="1:14" ht="60" x14ac:dyDescent="0.25">
      <c r="A25" s="1"/>
      <c r="B25" s="4"/>
      <c r="C25" s="34">
        <v>14</v>
      </c>
      <c r="D25" s="4" t="str">
        <f>'BID I'!B621</f>
        <v>Penyedian Jaminan Ketenagakerjaan Ekosistem Desa</v>
      </c>
      <c r="E25" s="1" t="s">
        <v>2170</v>
      </c>
      <c r="F25" s="18" t="s">
        <v>2178</v>
      </c>
      <c r="G25" s="165">
        <v>1</v>
      </c>
      <c r="H25" s="4" t="s">
        <v>1102</v>
      </c>
      <c r="I25" s="1" t="s">
        <v>1622</v>
      </c>
      <c r="J25" s="1" t="s">
        <v>2177</v>
      </c>
      <c r="K25" s="1" t="s">
        <v>260</v>
      </c>
      <c r="L25" s="118">
        <f>'BID I'!F643</f>
        <v>52360900.200000003</v>
      </c>
      <c r="M25" s="35" t="s">
        <v>1104</v>
      </c>
      <c r="N25" s="35" t="s">
        <v>1105</v>
      </c>
    </row>
    <row r="26" spans="1:14" ht="47.25" x14ac:dyDescent="0.25">
      <c r="A26" s="1"/>
      <c r="B26" s="4"/>
      <c r="C26" s="34">
        <v>15</v>
      </c>
      <c r="D26" s="4" t="str">
        <f>'BID I'!B658</f>
        <v>: Penyediaan Kegiatan Sosial Desa</v>
      </c>
      <c r="E26" s="1" t="s">
        <v>2170</v>
      </c>
      <c r="F26" s="18" t="s">
        <v>1143</v>
      </c>
      <c r="G26" s="169">
        <v>1</v>
      </c>
      <c r="H26" s="18" t="s">
        <v>1102</v>
      </c>
      <c r="I26" s="19" t="s">
        <v>1103</v>
      </c>
      <c r="J26" s="38" t="s">
        <v>2196</v>
      </c>
      <c r="K26" s="1118" t="s">
        <v>1630</v>
      </c>
      <c r="L26" s="118">
        <f>'BID I'!F675</f>
        <v>39032000</v>
      </c>
      <c r="M26" s="35" t="s">
        <v>1104</v>
      </c>
      <c r="N26" s="35" t="s">
        <v>1105</v>
      </c>
    </row>
    <row r="27" spans="1:14" ht="47.25" x14ac:dyDescent="0.25">
      <c r="A27" s="1"/>
      <c r="B27" s="4"/>
      <c r="C27" s="34">
        <v>16</v>
      </c>
      <c r="D27" s="4" t="str">
        <f>'BID I'!B716</f>
        <v>: Tambahan  Penghasilan Perbekel dari BKK</v>
      </c>
      <c r="E27" s="1" t="s">
        <v>2170</v>
      </c>
      <c r="F27" s="18" t="s">
        <v>1101</v>
      </c>
      <c r="G27" s="169">
        <v>1</v>
      </c>
      <c r="H27" s="18" t="s">
        <v>1102</v>
      </c>
      <c r="I27" s="19" t="s">
        <v>1103</v>
      </c>
      <c r="J27" s="20" t="s">
        <v>1633</v>
      </c>
      <c r="K27" s="1118" t="s">
        <v>1630</v>
      </c>
      <c r="L27" s="118">
        <f>'BID I'!F727</f>
        <v>18000000</v>
      </c>
      <c r="M27" s="35" t="s">
        <v>1104</v>
      </c>
      <c r="N27" s="35" t="s">
        <v>1105</v>
      </c>
    </row>
    <row r="28" spans="1:14" ht="47.25" x14ac:dyDescent="0.25">
      <c r="A28" s="1"/>
      <c r="B28" s="4"/>
      <c r="C28" s="34">
        <v>17</v>
      </c>
      <c r="D28" s="4" t="str">
        <f>'BID I'!B741</f>
        <v>: Tambahan  Penghasilan Perangkat Desa dari BKK</v>
      </c>
      <c r="E28" s="1" t="s">
        <v>2170</v>
      </c>
      <c r="F28" s="18" t="s">
        <v>1132</v>
      </c>
      <c r="G28" s="169">
        <v>1</v>
      </c>
      <c r="H28" s="18" t="s">
        <v>1102</v>
      </c>
      <c r="I28" s="19" t="s">
        <v>1103</v>
      </c>
      <c r="J28" s="20" t="s">
        <v>1635</v>
      </c>
      <c r="K28" s="1118" t="s">
        <v>1630</v>
      </c>
      <c r="L28" s="118">
        <f>'BID I'!F757</f>
        <v>56400000</v>
      </c>
      <c r="M28" s="35" t="s">
        <v>1104</v>
      </c>
      <c r="N28" s="35" t="s">
        <v>1105</v>
      </c>
    </row>
    <row r="29" spans="1:14" ht="47.25" x14ac:dyDescent="0.25">
      <c r="A29" s="1"/>
      <c r="B29" s="4"/>
      <c r="C29" s="34">
        <v>18</v>
      </c>
      <c r="D29" s="4" t="str">
        <f>'BID I'!B772</f>
        <v>: Penyediaan Aset Tetap (Prasarana Kantor Desa)</v>
      </c>
      <c r="E29" s="1" t="s">
        <v>2170</v>
      </c>
      <c r="F29" s="18" t="s">
        <v>1636</v>
      </c>
      <c r="G29" s="169">
        <v>1</v>
      </c>
      <c r="H29" s="18" t="s">
        <v>1102</v>
      </c>
      <c r="I29" s="19" t="s">
        <v>1144</v>
      </c>
      <c r="J29" s="20" t="s">
        <v>1634</v>
      </c>
      <c r="K29" s="1118" t="s">
        <v>1630</v>
      </c>
      <c r="L29" s="118">
        <f>'BID I'!F801</f>
        <v>135982100.75</v>
      </c>
      <c r="M29" s="35" t="s">
        <v>1104</v>
      </c>
      <c r="N29" s="35" t="s">
        <v>1105</v>
      </c>
    </row>
    <row r="30" spans="1:14" ht="63.75" customHeight="1" x14ac:dyDescent="0.25">
      <c r="A30" s="1"/>
      <c r="B30" s="4"/>
      <c r="C30" s="34">
        <v>19</v>
      </c>
      <c r="D30" s="4" t="str">
        <f>'BID I'!B814</f>
        <v>: Pemeliharaan Sarana dan Prasarana Kantor Desa ( Papan Nama Desa )</v>
      </c>
      <c r="E30" s="1" t="s">
        <v>2170</v>
      </c>
      <c r="F30" s="18" t="s">
        <v>1636</v>
      </c>
      <c r="G30" s="169">
        <v>1</v>
      </c>
      <c r="H30" s="18" t="s">
        <v>1102</v>
      </c>
      <c r="I30" s="19" t="s">
        <v>1144</v>
      </c>
      <c r="J30" s="38" t="s">
        <v>2196</v>
      </c>
      <c r="K30" s="1118" t="s">
        <v>1630</v>
      </c>
      <c r="L30" s="118">
        <f>'BID I'!F842</f>
        <v>63010000</v>
      </c>
      <c r="M30" s="35" t="s">
        <v>1104</v>
      </c>
      <c r="N30" s="35" t="s">
        <v>1105</v>
      </c>
    </row>
    <row r="31" spans="1:14" ht="63.75" customHeight="1" x14ac:dyDescent="0.25">
      <c r="A31" s="1"/>
      <c r="B31" s="4"/>
      <c r="C31" s="34">
        <v>20</v>
      </c>
      <c r="D31" s="4" t="str">
        <f>'BID I'!B855</f>
        <v>Pemeliharaan/ Rehabilitasi/ Peningkatan Gedung/ Prasarana Kantor Desa (Perbaikan Plafont Toilet Latai 1)</v>
      </c>
      <c r="E31" s="1" t="s">
        <v>2170</v>
      </c>
      <c r="F31" s="18" t="s">
        <v>2490</v>
      </c>
      <c r="G31" s="169">
        <v>1</v>
      </c>
      <c r="H31" s="18" t="s">
        <v>1102</v>
      </c>
      <c r="I31" s="19" t="s">
        <v>1147</v>
      </c>
      <c r="J31" s="38" t="s">
        <v>2196</v>
      </c>
      <c r="K31" s="1118" t="s">
        <v>1630</v>
      </c>
      <c r="L31" s="118">
        <f>'BID I'!F879</f>
        <v>2619000</v>
      </c>
      <c r="M31" s="35" t="s">
        <v>1104</v>
      </c>
      <c r="N31" s="35" t="s">
        <v>1105</v>
      </c>
    </row>
    <row r="32" spans="1:14" ht="63.75" customHeight="1" x14ac:dyDescent="0.25">
      <c r="A32" s="1"/>
      <c r="B32" s="4"/>
      <c r="C32" s="34">
        <v>21</v>
      </c>
      <c r="D32" s="4" t="str">
        <f>'BID I'!B892</f>
        <v>Pemeliharaan/ Rehabilitasi/ Peningkatan Gedung/ Prasarana Kantor Desa (Perbaikan Plafont kamar mandi Lantai 2)</v>
      </c>
      <c r="E32" s="1" t="s">
        <v>2170</v>
      </c>
      <c r="F32" s="18" t="s">
        <v>2490</v>
      </c>
      <c r="G32" s="169">
        <v>1</v>
      </c>
      <c r="H32" s="18" t="s">
        <v>1102</v>
      </c>
      <c r="I32" s="19" t="s">
        <v>1147</v>
      </c>
      <c r="J32" s="38" t="s">
        <v>2196</v>
      </c>
      <c r="K32" s="1118" t="s">
        <v>1630</v>
      </c>
      <c r="L32" s="118">
        <f>'BID I'!F916</f>
        <v>5304000</v>
      </c>
      <c r="M32" s="35" t="s">
        <v>1104</v>
      </c>
      <c r="N32" s="35" t="s">
        <v>1105</v>
      </c>
    </row>
    <row r="33" spans="1:14" ht="63.75" customHeight="1" x14ac:dyDescent="0.25">
      <c r="A33" s="1"/>
      <c r="B33" s="4"/>
      <c r="C33" s="34">
        <v>22</v>
      </c>
      <c r="D33" s="4" t="str">
        <f>'BID I'!B929</f>
        <v>Pemeliharaan/ Rehabilitasi/ Peningkatan Gedung/ Prasarana Kantor Desa (Perbaikan Instalasi AC)</v>
      </c>
      <c r="E33" s="1" t="s">
        <v>2170</v>
      </c>
      <c r="F33" s="18" t="s">
        <v>2490</v>
      </c>
      <c r="G33" s="169">
        <v>1</v>
      </c>
      <c r="H33" s="18" t="s">
        <v>1102</v>
      </c>
      <c r="I33" s="19" t="s">
        <v>1147</v>
      </c>
      <c r="J33" s="38" t="s">
        <v>2196</v>
      </c>
      <c r="K33" s="1118" t="s">
        <v>1630</v>
      </c>
      <c r="L33" s="118">
        <f>'BID I'!F953</f>
        <v>11573900</v>
      </c>
      <c r="M33" s="35" t="s">
        <v>1104</v>
      </c>
      <c r="N33" s="35" t="s">
        <v>1105</v>
      </c>
    </row>
    <row r="34" spans="1:14" ht="63.75" customHeight="1" x14ac:dyDescent="0.25">
      <c r="A34" s="1"/>
      <c r="B34" s="4"/>
      <c r="C34" s="34">
        <v>23</v>
      </c>
      <c r="D34" s="4" t="str">
        <f>'BID I'!B960</f>
        <v>Pemeliharaan/ Rehabilitasi/ Peningkatan Gedung/ Prasarana Kantor Desa (Penataan Kebun dan Vertical Garden)</v>
      </c>
      <c r="E34" s="1" t="s">
        <v>2170</v>
      </c>
      <c r="F34" s="18" t="s">
        <v>2490</v>
      </c>
      <c r="G34" s="169">
        <v>1</v>
      </c>
      <c r="H34" s="18" t="s">
        <v>1102</v>
      </c>
      <c r="I34" s="19" t="s">
        <v>1147</v>
      </c>
      <c r="J34" s="38" t="s">
        <v>2196</v>
      </c>
      <c r="K34" s="1118" t="s">
        <v>1630</v>
      </c>
      <c r="L34" s="118">
        <f>'BID I'!F983</f>
        <v>36857600</v>
      </c>
      <c r="M34" s="35" t="s">
        <v>1104</v>
      </c>
      <c r="N34" s="35" t="s">
        <v>1105</v>
      </c>
    </row>
    <row r="35" spans="1:14" ht="60" x14ac:dyDescent="0.25">
      <c r="A35" s="1"/>
      <c r="B35" s="4"/>
      <c r="C35" s="34">
        <v>24</v>
      </c>
      <c r="D35" s="4" t="str">
        <f>'BID I'!B996</f>
        <v>: Penyusunan/ Pendataan/Pemuktahiran Profil Desa (Profil Kependudukan dan potensi Desa )</v>
      </c>
      <c r="E35" s="1" t="s">
        <v>2179</v>
      </c>
      <c r="F35" s="18" t="s">
        <v>1148</v>
      </c>
      <c r="G35" s="169">
        <v>1</v>
      </c>
      <c r="H35" s="18" t="s">
        <v>1102</v>
      </c>
      <c r="I35" s="19" t="s">
        <v>1147</v>
      </c>
      <c r="J35" s="38" t="s">
        <v>2196</v>
      </c>
      <c r="K35" s="1118" t="s">
        <v>1630</v>
      </c>
      <c r="L35" s="118">
        <f>'BID I'!F1035</f>
        <v>44906000</v>
      </c>
      <c r="M35" s="35" t="s">
        <v>1104</v>
      </c>
      <c r="N35" s="35" t="s">
        <v>1105</v>
      </c>
    </row>
    <row r="36" spans="1:14" ht="47.25" x14ac:dyDescent="0.25">
      <c r="A36" s="1"/>
      <c r="B36" s="4"/>
      <c r="C36" s="34">
        <v>25</v>
      </c>
      <c r="D36" s="4" t="str">
        <f>'BID I'!B1090</f>
        <v>: Pengelolaan Administrasi dan Kearsipan pemerintahan Desa ( Pelatihan Kearsipan )</v>
      </c>
      <c r="E36" s="1" t="s">
        <v>2179</v>
      </c>
      <c r="F36" s="17" t="s">
        <v>1149</v>
      </c>
      <c r="G36" s="169">
        <v>1</v>
      </c>
      <c r="H36" s="18" t="s">
        <v>1102</v>
      </c>
      <c r="I36" s="19" t="s">
        <v>1147</v>
      </c>
      <c r="J36" s="38" t="s">
        <v>2196</v>
      </c>
      <c r="K36" s="1118" t="s">
        <v>1630</v>
      </c>
      <c r="L36" s="118">
        <f>'BID I'!F1112</f>
        <v>900000</v>
      </c>
      <c r="M36" s="35" t="s">
        <v>1104</v>
      </c>
      <c r="N36" s="35" t="s">
        <v>1105</v>
      </c>
    </row>
    <row r="37" spans="1:14" ht="63" x14ac:dyDescent="0.25">
      <c r="A37" s="1"/>
      <c r="B37" s="4"/>
      <c r="C37" s="34">
        <v>26</v>
      </c>
      <c r="D37" s="4" t="str">
        <f>'BID I'!B1127</f>
        <v>: Pendataan Administrasi Penduduk Non Permanen (Penertiban Penduduk Pendatang dan Sidak Dialogis)</v>
      </c>
      <c r="E37" s="1" t="s">
        <v>2179</v>
      </c>
      <c r="F37" s="18" t="s">
        <v>1150</v>
      </c>
      <c r="G37" s="169">
        <v>1</v>
      </c>
      <c r="H37" s="18" t="s">
        <v>1102</v>
      </c>
      <c r="I37" s="19" t="s">
        <v>1153</v>
      </c>
      <c r="J37" s="38" t="s">
        <v>2196</v>
      </c>
      <c r="K37" s="1118" t="s">
        <v>1630</v>
      </c>
      <c r="L37" s="118">
        <f>'BID I'!F1149</f>
        <v>37270000</v>
      </c>
      <c r="M37" s="35" t="s">
        <v>1104</v>
      </c>
      <c r="N37" s="35" t="s">
        <v>1105</v>
      </c>
    </row>
    <row r="38" spans="1:14" ht="47.25" x14ac:dyDescent="0.25">
      <c r="A38" s="1"/>
      <c r="B38" s="4"/>
      <c r="C38" s="34">
        <v>27</v>
      </c>
      <c r="D38" s="4" t="str">
        <f>'BID I'!B1165</f>
        <v>Penyelenggaraan Musyawarah Desa/ Pembahasan APBDes (Musrenbangdes)</v>
      </c>
      <c r="E38" s="1" t="s">
        <v>2179</v>
      </c>
      <c r="F38" s="18" t="s">
        <v>1143</v>
      </c>
      <c r="G38" s="169">
        <v>1</v>
      </c>
      <c r="H38" s="18" t="s">
        <v>1102</v>
      </c>
      <c r="I38" s="19" t="s">
        <v>1153</v>
      </c>
      <c r="J38" s="38" t="s">
        <v>2196</v>
      </c>
      <c r="K38" s="1118" t="s">
        <v>1630</v>
      </c>
      <c r="L38" s="118">
        <f>'BID I'!F1192</f>
        <v>25700000</v>
      </c>
      <c r="M38" s="35" t="s">
        <v>1104</v>
      </c>
      <c r="N38" s="35" t="s">
        <v>1105</v>
      </c>
    </row>
    <row r="39" spans="1:14" ht="94.5" customHeight="1" x14ac:dyDescent="0.25">
      <c r="A39" s="1"/>
      <c r="B39" s="4"/>
      <c r="C39" s="34">
        <v>28</v>
      </c>
      <c r="D39" s="4" t="str">
        <f>'BID I'!B1208</f>
        <v>Penyelenggaraan Musyawarah Desa/ Pembahasan APBDes (Musdes, Musrenbangdes/pra musrenbangdes, dll yang bersifat reguler )</v>
      </c>
      <c r="E39" s="1" t="s">
        <v>2179</v>
      </c>
      <c r="F39" s="18" t="s">
        <v>1143</v>
      </c>
      <c r="G39" s="169">
        <v>1</v>
      </c>
      <c r="H39" s="18" t="s">
        <v>1102</v>
      </c>
      <c r="I39" s="19" t="s">
        <v>1637</v>
      </c>
      <c r="J39" s="38" t="s">
        <v>2196</v>
      </c>
      <c r="K39" s="1118" t="s">
        <v>1630</v>
      </c>
      <c r="L39" s="118">
        <f>'BID I'!F1236</f>
        <v>41416000</v>
      </c>
      <c r="M39" s="35" t="s">
        <v>1104</v>
      </c>
      <c r="N39" s="35" t="s">
        <v>1105</v>
      </c>
    </row>
    <row r="40" spans="1:14" ht="47.25" x14ac:dyDescent="0.25">
      <c r="A40" s="1"/>
      <c r="B40" s="4"/>
      <c r="C40" s="34">
        <v>29</v>
      </c>
      <c r="D40" s="4" t="str">
        <f>'BID I'!B1253</f>
        <v>: Penyelenggaraan Musyawarah Desa lainya (yang bersifat non reguler )</v>
      </c>
      <c r="E40" s="1" t="s">
        <v>2179</v>
      </c>
      <c r="F40" s="18" t="s">
        <v>1143</v>
      </c>
      <c r="G40" s="169">
        <v>1</v>
      </c>
      <c r="H40" s="18" t="s">
        <v>1102</v>
      </c>
      <c r="I40" s="19" t="s">
        <v>1152</v>
      </c>
      <c r="J40" s="38" t="s">
        <v>2196</v>
      </c>
      <c r="K40" s="1118" t="s">
        <v>1630</v>
      </c>
      <c r="L40" s="118">
        <f>'BID I'!F1280</f>
        <v>24400000</v>
      </c>
      <c r="M40" s="35" t="s">
        <v>1104</v>
      </c>
      <c r="N40" s="35" t="s">
        <v>1105</v>
      </c>
    </row>
    <row r="41" spans="1:14" ht="47.25" x14ac:dyDescent="0.25">
      <c r="A41" s="1"/>
      <c r="B41" s="4"/>
      <c r="C41" s="34">
        <v>30</v>
      </c>
      <c r="D41" s="4" t="str">
        <f>'BID I'!B1294</f>
        <v>Penyusunan Dokumen Perencanaan Desa (RKP Desa 2026)</v>
      </c>
      <c r="E41" s="1" t="s">
        <v>2179</v>
      </c>
      <c r="F41" s="18" t="s">
        <v>1143</v>
      </c>
      <c r="G41" s="169">
        <v>1</v>
      </c>
      <c r="H41" s="18" t="s">
        <v>1102</v>
      </c>
      <c r="I41" s="19" t="s">
        <v>1106</v>
      </c>
      <c r="J41" s="38" t="s">
        <v>2196</v>
      </c>
      <c r="K41" s="1118" t="s">
        <v>1630</v>
      </c>
      <c r="L41" s="118">
        <f>'BID I'!F1320</f>
        <v>25930000</v>
      </c>
      <c r="M41" s="35" t="s">
        <v>1104</v>
      </c>
      <c r="N41" s="35" t="s">
        <v>1105</v>
      </c>
    </row>
    <row r="42" spans="1:14" ht="54.75" customHeight="1" x14ac:dyDescent="0.25">
      <c r="A42" s="1"/>
      <c r="B42" s="4"/>
      <c r="C42" s="34">
        <v>31</v>
      </c>
      <c r="D42" s="4" t="str">
        <f>'BID I'!B1333</f>
        <v>Penyusunan Dokumen Perencanaan Desa (RPJM Perubahan)</v>
      </c>
      <c r="E42" s="1" t="s">
        <v>2179</v>
      </c>
      <c r="F42" s="18" t="s">
        <v>2180</v>
      </c>
      <c r="G42" s="169">
        <v>1</v>
      </c>
      <c r="H42" s="18" t="s">
        <v>1102</v>
      </c>
      <c r="I42" s="19" t="s">
        <v>1106</v>
      </c>
      <c r="J42" s="38" t="s">
        <v>2196</v>
      </c>
      <c r="K42" s="1118" t="s">
        <v>1630</v>
      </c>
      <c r="L42" s="118">
        <f>'BID I'!F1354</f>
        <v>28770000</v>
      </c>
      <c r="M42" s="35" t="s">
        <v>1104</v>
      </c>
      <c r="N42" s="35" t="s">
        <v>1105</v>
      </c>
    </row>
    <row r="43" spans="1:14" ht="47.25" x14ac:dyDescent="0.25">
      <c r="A43" s="1"/>
      <c r="B43" s="4"/>
      <c r="C43" s="34">
        <v>32</v>
      </c>
      <c r="D43" s="4" t="str">
        <f>'BID I'!B1369</f>
        <v>: Penyusunan dokumen keuangan Desa (APBDesa 2026 )</v>
      </c>
      <c r="E43" s="1" t="s">
        <v>2179</v>
      </c>
      <c r="F43" s="18" t="s">
        <v>1143</v>
      </c>
      <c r="G43" s="169">
        <v>1</v>
      </c>
      <c r="H43" s="18" t="s">
        <v>1102</v>
      </c>
      <c r="I43" s="19" t="s">
        <v>1106</v>
      </c>
      <c r="J43" s="38" t="s">
        <v>2196</v>
      </c>
      <c r="K43" s="1118" t="s">
        <v>1630</v>
      </c>
      <c r="L43" s="118">
        <f>'BID I'!F1384</f>
        <v>5175000</v>
      </c>
      <c r="M43" s="35" t="s">
        <v>1104</v>
      </c>
      <c r="N43" s="35" t="s">
        <v>1105</v>
      </c>
    </row>
    <row r="44" spans="1:14" ht="63" x14ac:dyDescent="0.25">
      <c r="A44" s="1"/>
      <c r="B44" s="4"/>
      <c r="C44" s="34">
        <v>33</v>
      </c>
      <c r="D44" s="4" t="str">
        <f>'BID I'!B1400</f>
        <v>: Penyusunan dokumen keuangan Desa (APBDesa Perubahan 2025)</v>
      </c>
      <c r="E44" s="1" t="s">
        <v>2179</v>
      </c>
      <c r="F44" s="18" t="s">
        <v>1143</v>
      </c>
      <c r="G44" s="169">
        <v>1</v>
      </c>
      <c r="H44" s="18" t="s">
        <v>1143</v>
      </c>
      <c r="I44" s="19" t="s">
        <v>1106</v>
      </c>
      <c r="J44" s="38" t="s">
        <v>2196</v>
      </c>
      <c r="K44" s="1118" t="s">
        <v>1630</v>
      </c>
      <c r="L44" s="183">
        <f>'BID I'!F1415</f>
        <v>4805000</v>
      </c>
      <c r="M44" s="35" t="s">
        <v>1104</v>
      </c>
      <c r="N44" s="35" t="s">
        <v>1105</v>
      </c>
    </row>
    <row r="45" spans="1:14" ht="47.25" x14ac:dyDescent="0.25">
      <c r="A45" s="1"/>
      <c r="B45" s="4"/>
      <c r="C45" s="34">
        <v>34</v>
      </c>
      <c r="D45" s="4" t="str">
        <f>'BID I'!B1430</f>
        <v>: Penyusunan dokumen keuangan Desa ( LPJ APBDesa 2024)</v>
      </c>
      <c r="E45" s="1" t="s">
        <v>2179</v>
      </c>
      <c r="F45" s="18" t="s">
        <v>1143</v>
      </c>
      <c r="G45" s="169">
        <v>1</v>
      </c>
      <c r="H45" s="18" t="s">
        <v>1102</v>
      </c>
      <c r="I45" s="19" t="s">
        <v>1106</v>
      </c>
      <c r="J45" s="38" t="s">
        <v>2196</v>
      </c>
      <c r="K45" s="1118" t="s">
        <v>1630</v>
      </c>
      <c r="L45" s="118">
        <f>'BID I'!F1442</f>
        <v>1575000</v>
      </c>
      <c r="M45" s="35" t="s">
        <v>1104</v>
      </c>
      <c r="N45" s="35" t="s">
        <v>1105</v>
      </c>
    </row>
    <row r="46" spans="1:14" ht="60.75" thickBot="1" x14ac:dyDescent="0.3">
      <c r="A46" s="1"/>
      <c r="B46" s="4"/>
      <c r="C46" s="34">
        <v>35</v>
      </c>
      <c r="D46" s="4" t="str">
        <f>'BID I'!B1458</f>
        <v>: Penyusunan laporan Kepala Desa/ Penyelenggaraan Pemerintah Desa (Laporan akhir tahun anggaran )</v>
      </c>
      <c r="E46" s="1" t="s">
        <v>2179</v>
      </c>
      <c r="F46" s="18" t="s">
        <v>1143</v>
      </c>
      <c r="G46" s="169">
        <v>1</v>
      </c>
      <c r="H46" s="18" t="s">
        <v>1102</v>
      </c>
      <c r="I46" s="19" t="s">
        <v>1106</v>
      </c>
      <c r="J46" s="38" t="s">
        <v>2196</v>
      </c>
      <c r="K46" s="1118" t="s">
        <v>1630</v>
      </c>
      <c r="L46" s="118">
        <f>'BID I'!F1470</f>
        <v>1500000</v>
      </c>
      <c r="M46" s="35" t="s">
        <v>1104</v>
      </c>
      <c r="N46" s="35" t="s">
        <v>1105</v>
      </c>
    </row>
    <row r="47" spans="1:14" ht="15.75" thickBot="1" x14ac:dyDescent="0.3">
      <c r="A47" s="2075" t="s">
        <v>1478</v>
      </c>
      <c r="B47" s="2076"/>
      <c r="C47" s="2076"/>
      <c r="D47" s="2076"/>
      <c r="E47" s="2076"/>
      <c r="F47" s="2076"/>
      <c r="G47" s="2076"/>
      <c r="H47" s="2076"/>
      <c r="I47" s="2076"/>
      <c r="J47" s="2076"/>
      <c r="K47" s="2077"/>
      <c r="L47" s="1121">
        <f>SUM(L12:L46)</f>
        <v>3714259341.9499998</v>
      </c>
      <c r="M47" s="35"/>
      <c r="N47" s="1"/>
    </row>
    <row r="48" spans="1:14" ht="75" x14ac:dyDescent="0.25">
      <c r="A48" s="145">
        <v>2</v>
      </c>
      <c r="B48" s="146" t="str">
        <f>'BID II'!B5</f>
        <v>Pelaksanaan Pembangunan Desa</v>
      </c>
      <c r="C48" s="150">
        <v>1</v>
      </c>
      <c r="D48" s="146" t="str">
        <f>'BID II'!B7</f>
        <v>Penyelenggaraan PAUD/TK/TKA/ Madrasah Non Formal Milik Desa (Pengelolaan Taman Kanak - kanak  TK Kumara Sari VI )</v>
      </c>
      <c r="E48" s="170" t="s">
        <v>1642</v>
      </c>
      <c r="F48" s="28" t="s">
        <v>1108</v>
      </c>
      <c r="G48" s="169">
        <v>1</v>
      </c>
      <c r="H48" s="18" t="s">
        <v>1102</v>
      </c>
      <c r="I48" s="19" t="s">
        <v>1106</v>
      </c>
      <c r="J48" s="19" t="s">
        <v>1643</v>
      </c>
      <c r="K48" s="20" t="s">
        <v>1630</v>
      </c>
      <c r="L48" s="173">
        <f>'BID II'!F157</f>
        <v>345561246.18000001</v>
      </c>
      <c r="M48" s="35" t="s">
        <v>1104</v>
      </c>
      <c r="N48" s="35" t="s">
        <v>1105</v>
      </c>
    </row>
    <row r="49" spans="1:14" ht="75" x14ac:dyDescent="0.25">
      <c r="A49" s="145"/>
      <c r="B49" s="146"/>
      <c r="C49" s="150">
        <v>2</v>
      </c>
      <c r="D49" s="146" t="str">
        <f>'BID II'!B170</f>
        <v>: Pembinaan atau Pelatihan Kelompok Belajar Widya Kumara Bhuwana ( Pelatihan Bahasa dan Aksara Bali Untuk Anak-Anak SD )</v>
      </c>
      <c r="E49" s="170" t="s">
        <v>1642</v>
      </c>
      <c r="F49" s="28" t="s">
        <v>1674</v>
      </c>
      <c r="G49" s="169">
        <v>1</v>
      </c>
      <c r="H49" s="18" t="s">
        <v>1102</v>
      </c>
      <c r="I49" s="19" t="s">
        <v>1106</v>
      </c>
      <c r="J49" s="19" t="s">
        <v>1675</v>
      </c>
      <c r="K49" s="20" t="s">
        <v>1630</v>
      </c>
      <c r="L49" s="173">
        <f>'BID II'!F195</f>
        <v>14608687.09</v>
      </c>
      <c r="M49" s="35" t="s">
        <v>1104</v>
      </c>
      <c r="N49" s="35" t="s">
        <v>1105</v>
      </c>
    </row>
    <row r="50" spans="1:14" ht="75" x14ac:dyDescent="0.25">
      <c r="A50" s="145"/>
      <c r="B50" s="146"/>
      <c r="C50" s="150">
        <v>3</v>
      </c>
      <c r="D50" s="146" t="str">
        <f>'BID II'!B249</f>
        <v>: Penyuluhan dan Pelatihan Pendidikan Bagi Masyarakat ( Pembinaan dan Penyelenggaraan Bunda Literasi )</v>
      </c>
      <c r="E50" s="170" t="s">
        <v>1642</v>
      </c>
      <c r="F50" s="28" t="s">
        <v>1692</v>
      </c>
      <c r="G50" s="169">
        <v>1</v>
      </c>
      <c r="H50" s="18" t="s">
        <v>1102</v>
      </c>
      <c r="I50" s="19" t="s">
        <v>1106</v>
      </c>
      <c r="J50" s="19" t="s">
        <v>1693</v>
      </c>
      <c r="K50" s="20" t="s">
        <v>1630</v>
      </c>
      <c r="L50" s="173">
        <f>'BID II'!F273</f>
        <v>14178000</v>
      </c>
      <c r="M50" s="35" t="s">
        <v>1104</v>
      </c>
      <c r="N50" s="35" t="s">
        <v>1105</v>
      </c>
    </row>
    <row r="51" spans="1:14" ht="82.5" customHeight="1" x14ac:dyDescent="0.25">
      <c r="A51" s="145"/>
      <c r="B51" s="146"/>
      <c r="C51" s="150">
        <v>4</v>
      </c>
      <c r="D51" s="146" t="str">
        <f>'BID II'!B208</f>
        <v>Penyuluhan dan Pelatihan Pendidikan bagi Masyarakat (Pembinaan dan Lomba Mewarnai Anak - Anak TK)</v>
      </c>
      <c r="E51" s="170" t="s">
        <v>1642</v>
      </c>
      <c r="F51" s="28" t="s">
        <v>2183</v>
      </c>
      <c r="G51" s="169">
        <v>1</v>
      </c>
      <c r="H51" s="18" t="s">
        <v>1102</v>
      </c>
      <c r="I51" s="19" t="s">
        <v>1106</v>
      </c>
      <c r="J51" s="19" t="s">
        <v>2184</v>
      </c>
      <c r="K51" s="20" t="s">
        <v>1630</v>
      </c>
      <c r="L51" s="173">
        <f>'BID II'!F236</f>
        <v>9180000</v>
      </c>
      <c r="M51" s="35" t="s">
        <v>1104</v>
      </c>
      <c r="N51" s="35" t="s">
        <v>1105</v>
      </c>
    </row>
    <row r="52" spans="1:14" ht="82.5" customHeight="1" x14ac:dyDescent="0.25">
      <c r="A52" s="145"/>
      <c r="B52" s="146"/>
      <c r="C52" s="150">
        <v>5</v>
      </c>
      <c r="D52" s="146" t="str">
        <f>'BID II'!B286</f>
        <v>Pemeliharaan Sarana dan Prasarana TK Milik Desa (Paranet Tempat Bermain)</v>
      </c>
      <c r="E52" s="170" t="s">
        <v>1642</v>
      </c>
      <c r="F52" s="28" t="s">
        <v>2491</v>
      </c>
      <c r="G52" s="169">
        <v>1</v>
      </c>
      <c r="H52" s="18" t="s">
        <v>1102</v>
      </c>
      <c r="I52" s="19" t="s">
        <v>1106</v>
      </c>
      <c r="J52" s="38" t="s">
        <v>2196</v>
      </c>
      <c r="K52" s="20" t="s">
        <v>1630</v>
      </c>
      <c r="L52" s="173">
        <f>'BID II'!F309</f>
        <v>19811741</v>
      </c>
      <c r="M52" s="35" t="s">
        <v>1104</v>
      </c>
      <c r="N52" s="35" t="s">
        <v>1105</v>
      </c>
    </row>
    <row r="53" spans="1:14" ht="75.75" customHeight="1" x14ac:dyDescent="0.25">
      <c r="A53" s="145"/>
      <c r="B53" s="146"/>
      <c r="C53" s="150">
        <v>6</v>
      </c>
      <c r="D53" s="146" t="str">
        <f>'BID II'!B322</f>
        <v>:Peningkatan Sarana Prasarana Perpustakaan/Taman Bacaan Desa/ Sanggar Belajar Milik Desa (Perpustakaan Digital dan keliling)</v>
      </c>
      <c r="E53" s="170" t="s">
        <v>1642</v>
      </c>
      <c r="F53" s="28" t="s">
        <v>1706</v>
      </c>
      <c r="G53" s="169">
        <v>1</v>
      </c>
      <c r="H53" s="18" t="s">
        <v>1102</v>
      </c>
      <c r="I53" s="19" t="s">
        <v>1106</v>
      </c>
      <c r="J53" s="38" t="s">
        <v>2196</v>
      </c>
      <c r="K53" s="20" t="s">
        <v>1630</v>
      </c>
      <c r="L53" s="173">
        <f>'BID II'!F344</f>
        <v>21000000</v>
      </c>
      <c r="M53" s="35" t="s">
        <v>1104</v>
      </c>
      <c r="N53" s="35" t="s">
        <v>1105</v>
      </c>
    </row>
    <row r="54" spans="1:14" ht="47.25" x14ac:dyDescent="0.25">
      <c r="A54" s="1"/>
      <c r="B54" s="4"/>
      <c r="C54" s="150">
        <v>7</v>
      </c>
      <c r="D54" s="4" t="str">
        <f>'BID II'!B357</f>
        <v>: Penyelenggaraan Posyandu (Pemberian PMT)</v>
      </c>
      <c r="E54" s="171">
        <v>3</v>
      </c>
      <c r="F54" s="28" t="s">
        <v>1156</v>
      </c>
      <c r="G54" s="169">
        <v>1</v>
      </c>
      <c r="H54" s="18" t="s">
        <v>1102</v>
      </c>
      <c r="I54" s="19" t="s">
        <v>1106</v>
      </c>
      <c r="J54" s="19" t="s">
        <v>1643</v>
      </c>
      <c r="K54" s="20" t="s">
        <v>1630</v>
      </c>
      <c r="L54" s="118">
        <f>'BID II'!F394</f>
        <v>387855500</v>
      </c>
      <c r="M54" s="35" t="s">
        <v>1104</v>
      </c>
      <c r="N54" s="35" t="s">
        <v>1105</v>
      </c>
    </row>
    <row r="55" spans="1:14" ht="47.25" x14ac:dyDescent="0.25">
      <c r="A55" s="1"/>
      <c r="B55" s="4"/>
      <c r="C55" s="150">
        <v>8</v>
      </c>
      <c r="D55" s="4" t="str">
        <f>'BID II'!B408</f>
        <v>: Penyelenggaraan POSyandu (Pos Gizi dan Ibu Hamil)</v>
      </c>
      <c r="E55" s="171">
        <v>3</v>
      </c>
      <c r="F55" s="28" t="s">
        <v>1156</v>
      </c>
      <c r="G55" s="169">
        <v>1</v>
      </c>
      <c r="H55" s="18" t="s">
        <v>1102</v>
      </c>
      <c r="I55" s="19" t="s">
        <v>1106</v>
      </c>
      <c r="J55" s="19" t="s">
        <v>1644</v>
      </c>
      <c r="K55" s="20" t="s">
        <v>1630</v>
      </c>
      <c r="L55" s="118">
        <f>'BID II'!F434</f>
        <v>3030000</v>
      </c>
      <c r="M55" s="35" t="s">
        <v>1104</v>
      </c>
      <c r="N55" s="35" t="s">
        <v>1105</v>
      </c>
    </row>
    <row r="56" spans="1:14" ht="47.25" x14ac:dyDescent="0.25">
      <c r="A56" s="1"/>
      <c r="B56" s="4"/>
      <c r="C56" s="150">
        <v>9</v>
      </c>
      <c r="D56" s="4" t="str">
        <f>'BID II'!B449</f>
        <v>: Penyuluhan dan Pelatihan Bidang Kesehatan (Pemberian tambahan nutrisi bagi lansia)</v>
      </c>
      <c r="E56" s="171">
        <v>3</v>
      </c>
      <c r="F56" s="28" t="s">
        <v>1158</v>
      </c>
      <c r="G56" s="169">
        <v>1</v>
      </c>
      <c r="H56" s="18" t="s">
        <v>1102</v>
      </c>
      <c r="I56" s="19" t="s">
        <v>1645</v>
      </c>
      <c r="J56" s="19" t="s">
        <v>1644</v>
      </c>
      <c r="K56" s="20" t="s">
        <v>1630</v>
      </c>
      <c r="L56" s="118">
        <f>'BID II'!F502</f>
        <v>375241500</v>
      </c>
      <c r="M56" s="35" t="s">
        <v>1104</v>
      </c>
      <c r="N56" s="35" t="s">
        <v>1105</v>
      </c>
    </row>
    <row r="57" spans="1:14" ht="63" x14ac:dyDescent="0.25">
      <c r="A57" s="1"/>
      <c r="B57" s="4"/>
      <c r="C57" s="150">
        <v>10</v>
      </c>
      <c r="D57" s="4" t="str">
        <f>'BID II'!B516</f>
        <v xml:space="preserve"> :Pendampingan calon pengantin</v>
      </c>
      <c r="E57" s="171">
        <v>3</v>
      </c>
      <c r="F57" s="28" t="s">
        <v>1646</v>
      </c>
      <c r="G57" s="169">
        <v>1</v>
      </c>
      <c r="H57" s="18" t="s">
        <v>1102</v>
      </c>
      <c r="I57" s="19" t="s">
        <v>1293</v>
      </c>
      <c r="J57" s="19" t="s">
        <v>1647</v>
      </c>
      <c r="K57" s="20" t="s">
        <v>1630</v>
      </c>
      <c r="L57" s="118">
        <f>'BID II'!F545</f>
        <v>12422000</v>
      </c>
      <c r="M57" s="35" t="s">
        <v>1104</v>
      </c>
      <c r="N57" s="35" t="s">
        <v>1105</v>
      </c>
    </row>
    <row r="58" spans="1:14" ht="89.25" customHeight="1" x14ac:dyDescent="0.25">
      <c r="A58" s="1"/>
      <c r="B58" s="4"/>
      <c r="C58" s="150">
        <v>11</v>
      </c>
      <c r="D58" s="4" t="str">
        <f>'BID II'!B558</f>
        <v>: Penyuluhan dan Pelatihan Bidang Kesehatan untuk Masyarakat (Pembinaan Kampung Keluarga Berkualitas)</v>
      </c>
      <c r="E58" s="171">
        <v>3</v>
      </c>
      <c r="F58" s="28" t="s">
        <v>2185</v>
      </c>
      <c r="G58" s="169">
        <v>1</v>
      </c>
      <c r="H58" s="18" t="s">
        <v>1102</v>
      </c>
      <c r="I58" s="19" t="s">
        <v>1106</v>
      </c>
      <c r="J58" s="19" t="s">
        <v>1644</v>
      </c>
      <c r="K58" s="20" t="s">
        <v>1630</v>
      </c>
      <c r="L58" s="118">
        <f>'BID II'!F584</f>
        <v>2543600</v>
      </c>
      <c r="M58" s="35" t="s">
        <v>1104</v>
      </c>
      <c r="N58" s="35" t="s">
        <v>1105</v>
      </c>
    </row>
    <row r="59" spans="1:14" ht="76.5" customHeight="1" x14ac:dyDescent="0.25">
      <c r="A59" s="1"/>
      <c r="B59" s="4"/>
      <c r="C59" s="150">
        <v>12</v>
      </c>
      <c r="D59" s="4" t="str">
        <f>'BID II'!B597</f>
        <v>Penyuluhan dan Pelatihan Bidang Kesehatan (PHBS)</v>
      </c>
      <c r="E59" s="171">
        <v>3</v>
      </c>
      <c r="F59" s="28" t="s">
        <v>1679</v>
      </c>
      <c r="G59" s="169">
        <v>1</v>
      </c>
      <c r="H59" s="18" t="s">
        <v>1102</v>
      </c>
      <c r="I59" s="19" t="s">
        <v>1106</v>
      </c>
      <c r="J59" s="19" t="s">
        <v>1680</v>
      </c>
      <c r="K59" s="20" t="s">
        <v>1630</v>
      </c>
      <c r="L59" s="118">
        <f>'BID II'!F626</f>
        <v>15180000</v>
      </c>
      <c r="M59" s="35" t="s">
        <v>1104</v>
      </c>
      <c r="N59" s="35" t="s">
        <v>1105</v>
      </c>
    </row>
    <row r="60" spans="1:14" ht="63" x14ac:dyDescent="0.25">
      <c r="A60" s="1" t="s">
        <v>474</v>
      </c>
      <c r="B60" s="4"/>
      <c r="C60" s="150">
        <v>13</v>
      </c>
      <c r="D60" s="4" t="str">
        <f>'BID II'!B639</f>
        <v>: Penyuluhan dan Pelatihan Bidang Kesehatan (Pembinaan Kader POSyandu terintegrasi/ILP)</v>
      </c>
      <c r="E60" s="171">
        <v>3</v>
      </c>
      <c r="F60" s="28" t="s">
        <v>1159</v>
      </c>
      <c r="G60" s="169">
        <v>1</v>
      </c>
      <c r="H60" s="18" t="s">
        <v>1102</v>
      </c>
      <c r="I60" s="19" t="s">
        <v>1106</v>
      </c>
      <c r="J60" s="19" t="s">
        <v>1648</v>
      </c>
      <c r="K60" s="20" t="s">
        <v>1630</v>
      </c>
      <c r="L60" s="118">
        <f>'BID II'!F666</f>
        <v>68234000</v>
      </c>
      <c r="M60" s="35" t="s">
        <v>1104</v>
      </c>
      <c r="N60" s="35" t="s">
        <v>1105</v>
      </c>
    </row>
    <row r="61" spans="1:14" ht="78.75" x14ac:dyDescent="0.25">
      <c r="A61" s="1"/>
      <c r="B61" s="4"/>
      <c r="C61" s="150">
        <v>14</v>
      </c>
      <c r="D61" s="4" t="str">
        <f>'BID II'!B678</f>
        <v>: Penyuluhan dan Pelatihan Bidang Kesehatan (Penyuluhan Narkoba dan HIV/AIDS)</v>
      </c>
      <c r="E61" s="171">
        <v>3</v>
      </c>
      <c r="F61" s="28" t="s">
        <v>1161</v>
      </c>
      <c r="G61" s="169">
        <v>1</v>
      </c>
      <c r="H61" s="18" t="s">
        <v>1102</v>
      </c>
      <c r="I61" s="19" t="s">
        <v>1106</v>
      </c>
      <c r="J61" s="38" t="s">
        <v>2196</v>
      </c>
      <c r="K61" s="20" t="s">
        <v>1630</v>
      </c>
      <c r="L61" s="118">
        <f>'BID II'!F714</f>
        <v>17180000</v>
      </c>
      <c r="M61" s="35" t="s">
        <v>1104</v>
      </c>
      <c r="N61" s="35" t="s">
        <v>1105</v>
      </c>
    </row>
    <row r="62" spans="1:14" ht="63" x14ac:dyDescent="0.25">
      <c r="A62" s="1"/>
      <c r="B62" s="4"/>
      <c r="C62" s="150">
        <v>15</v>
      </c>
      <c r="D62" s="4" t="str">
        <f>'BID II'!B729</f>
        <v>: Penyuluhan dan Pelatihan Bidang Kesehatan (Posbindu)</v>
      </c>
      <c r="E62" s="171">
        <v>3</v>
      </c>
      <c r="F62" s="28" t="s">
        <v>1185</v>
      </c>
      <c r="G62" s="169">
        <v>1</v>
      </c>
      <c r="H62" s="18" t="s">
        <v>1102</v>
      </c>
      <c r="I62" s="19" t="s">
        <v>1106</v>
      </c>
      <c r="J62" s="38" t="s">
        <v>2196</v>
      </c>
      <c r="K62" s="20" t="s">
        <v>1630</v>
      </c>
      <c r="L62" s="118">
        <f>'BID II'!F748</f>
        <v>14370000</v>
      </c>
      <c r="M62" s="35" t="s">
        <v>1104</v>
      </c>
      <c r="N62" s="35" t="s">
        <v>1105</v>
      </c>
    </row>
    <row r="63" spans="1:14" ht="94.5" x14ac:dyDescent="0.25">
      <c r="A63" s="1"/>
      <c r="B63" s="4"/>
      <c r="C63" s="150">
        <v>16</v>
      </c>
      <c r="D63" s="4" t="str">
        <f>'BID II'!B762</f>
        <v>: Penyuluhan dan Pelatihan Bidang Kesehatan ( Penyuluhan KB )</v>
      </c>
      <c r="E63" s="171">
        <v>3</v>
      </c>
      <c r="F63" s="28" t="s">
        <v>1186</v>
      </c>
      <c r="G63" s="169">
        <v>1</v>
      </c>
      <c r="H63" s="18" t="s">
        <v>1102</v>
      </c>
      <c r="I63" s="19" t="s">
        <v>1106</v>
      </c>
      <c r="J63" s="19" t="s">
        <v>1649</v>
      </c>
      <c r="K63" s="20" t="s">
        <v>1630</v>
      </c>
      <c r="L63" s="118">
        <f>'BID II'!F791</f>
        <v>17990000</v>
      </c>
      <c r="M63" s="35" t="s">
        <v>1104</v>
      </c>
      <c r="N63" s="35" t="s">
        <v>1105</v>
      </c>
    </row>
    <row r="64" spans="1:14" ht="47.25" x14ac:dyDescent="0.25">
      <c r="A64" s="1"/>
      <c r="B64" s="4"/>
      <c r="C64" s="150">
        <v>17</v>
      </c>
      <c r="D64" s="4" t="str">
        <f>'BID II'!B805</f>
        <v>: Penyuluhan dan Pelatihan Bidang Kesehatan(Sosialisasi Germas)</v>
      </c>
      <c r="E64" s="171">
        <v>3</v>
      </c>
      <c r="F64" s="28" t="s">
        <v>1731</v>
      </c>
      <c r="G64" s="169">
        <v>1</v>
      </c>
      <c r="H64" s="18" t="s">
        <v>1102</v>
      </c>
      <c r="I64" s="19" t="s">
        <v>1106</v>
      </c>
      <c r="J64" s="19" t="s">
        <v>1649</v>
      </c>
      <c r="K64" s="20" t="s">
        <v>1630</v>
      </c>
      <c r="L64" s="118">
        <f>'BID II'!F822</f>
        <v>2070000</v>
      </c>
      <c r="M64" s="35" t="s">
        <v>1104</v>
      </c>
      <c r="N64" s="35" t="s">
        <v>1105</v>
      </c>
    </row>
    <row r="65" spans="1:14" ht="60.75" customHeight="1" x14ac:dyDescent="0.25">
      <c r="A65" s="1"/>
      <c r="B65" s="4"/>
      <c r="C65" s="150">
        <v>18</v>
      </c>
      <c r="D65" s="4" t="str">
        <f>'BID II'!B836</f>
        <v>:Penyuluhan dan Pelatihan Bidang Kesehatan Untuk Masyarakat (Penyelenggaraan Pembinaan dan Lomba PMT)</v>
      </c>
      <c r="E65" s="171">
        <v>3</v>
      </c>
      <c r="F65" s="28" t="s">
        <v>2186</v>
      </c>
      <c r="G65" s="169">
        <v>1</v>
      </c>
      <c r="H65" s="18" t="s">
        <v>1102</v>
      </c>
      <c r="I65" s="19" t="s">
        <v>1106</v>
      </c>
      <c r="J65" s="19" t="s">
        <v>1644</v>
      </c>
      <c r="K65" s="20" t="s">
        <v>1630</v>
      </c>
      <c r="L65" s="118">
        <f>'BID II'!F886</f>
        <v>11391000</v>
      </c>
      <c r="M65" s="35" t="s">
        <v>1104</v>
      </c>
      <c r="N65" s="35" t="s">
        <v>1105</v>
      </c>
    </row>
    <row r="66" spans="1:14" ht="81.75" customHeight="1" x14ac:dyDescent="0.25">
      <c r="A66" s="1"/>
      <c r="B66" s="4"/>
      <c r="C66" s="150">
        <v>19</v>
      </c>
      <c r="D66" s="4" t="str">
        <f>'BID II'!B899</f>
        <v>: Penyuluhan dan Pelatihan Bidang Kesehatan untuk Masyarakat (Penyuluhan kesehatan Organ Reproduksi dan Penyelenggaraan Papsmear)</v>
      </c>
      <c r="E66" s="171">
        <v>3</v>
      </c>
      <c r="F66" s="28" t="s">
        <v>2187</v>
      </c>
      <c r="G66" s="169">
        <v>1</v>
      </c>
      <c r="H66" s="18" t="s">
        <v>1102</v>
      </c>
      <c r="I66" s="19" t="s">
        <v>1106</v>
      </c>
      <c r="J66" s="19" t="s">
        <v>1644</v>
      </c>
      <c r="K66" s="20" t="s">
        <v>1630</v>
      </c>
      <c r="L66" s="118">
        <f>'BID II'!F924</f>
        <v>7480000</v>
      </c>
      <c r="M66" s="35" t="s">
        <v>1104</v>
      </c>
      <c r="N66" s="35" t="s">
        <v>1105</v>
      </c>
    </row>
    <row r="67" spans="1:14" ht="60.75" customHeight="1" x14ac:dyDescent="0.25">
      <c r="A67" s="1"/>
      <c r="B67" s="4"/>
      <c r="C67" s="150">
        <v>20</v>
      </c>
      <c r="D67" s="4" t="str">
        <f>'BID II'!B938</f>
        <v>: Penyuluhan dan Pelatihan Bidang Kesehatan untuk Masyarakat  (Pembinaan Rumah Dataku)</v>
      </c>
      <c r="E67" s="171">
        <v>3</v>
      </c>
      <c r="F67" s="28" t="s">
        <v>2188</v>
      </c>
      <c r="G67" s="169">
        <v>1</v>
      </c>
      <c r="H67" s="18" t="s">
        <v>1102</v>
      </c>
      <c r="I67" s="19" t="s">
        <v>1106</v>
      </c>
      <c r="J67" s="19" t="s">
        <v>2189</v>
      </c>
      <c r="K67" s="20" t="s">
        <v>1630</v>
      </c>
      <c r="L67" s="118">
        <f>'BID II'!F965</f>
        <v>1550000</v>
      </c>
      <c r="M67" s="35" t="s">
        <v>1104</v>
      </c>
      <c r="N67" s="35" t="s">
        <v>1105</v>
      </c>
    </row>
    <row r="68" spans="1:14" ht="60.75" customHeight="1" x14ac:dyDescent="0.25">
      <c r="A68" s="1"/>
      <c r="B68" s="4"/>
      <c r="C68" s="150">
        <v>21</v>
      </c>
      <c r="D68" s="4" t="str">
        <f>'BID II'!B979</f>
        <v>: Penyuluhan dan Pelatihan Bidang Kesehatan Untuk Masyarakat  (Sosialisasi Sanitasi pedagang )</v>
      </c>
      <c r="E68" s="171">
        <v>3</v>
      </c>
      <c r="F68" s="28" t="s">
        <v>2188</v>
      </c>
      <c r="G68" s="169">
        <v>1</v>
      </c>
      <c r="H68" s="18" t="s">
        <v>1102</v>
      </c>
      <c r="I68" s="19" t="s">
        <v>1106</v>
      </c>
      <c r="J68" s="38" t="s">
        <v>2196</v>
      </c>
      <c r="K68" s="20" t="s">
        <v>1630</v>
      </c>
      <c r="L68" s="118">
        <f>'BID II'!F1004</f>
        <v>4633200</v>
      </c>
      <c r="M68" s="35" t="s">
        <v>1104</v>
      </c>
      <c r="N68" s="35" t="s">
        <v>1105</v>
      </c>
    </row>
    <row r="69" spans="1:14" ht="60.75" customHeight="1" x14ac:dyDescent="0.25">
      <c r="A69" s="1"/>
      <c r="B69" s="4"/>
      <c r="C69" s="150">
        <v>22</v>
      </c>
      <c r="D69" s="4" t="str">
        <f>'BID II'!B1018</f>
        <v>: Penyuluhan dan Pelatihan Bidang Kesehatan Untuk Masyarakat  (Pembinaan Kader Kesehatan Jiwa )</v>
      </c>
      <c r="E69" s="171">
        <v>3</v>
      </c>
      <c r="F69" s="28" t="s">
        <v>2559</v>
      </c>
      <c r="G69" s="169">
        <v>1</v>
      </c>
      <c r="H69" s="18" t="s">
        <v>1102</v>
      </c>
      <c r="I69" s="19" t="s">
        <v>1106</v>
      </c>
      <c r="J69" s="38" t="s">
        <v>2196</v>
      </c>
      <c r="K69" s="20" t="s">
        <v>1630</v>
      </c>
      <c r="L69" s="118">
        <f>'BID II'!F1045</f>
        <v>0</v>
      </c>
      <c r="M69" s="35" t="s">
        <v>1104</v>
      </c>
      <c r="N69" s="35" t="s">
        <v>1105</v>
      </c>
    </row>
    <row r="70" spans="1:14" ht="78.75" customHeight="1" x14ac:dyDescent="0.25">
      <c r="A70" s="4"/>
      <c r="B70" s="4"/>
      <c r="C70" s="150">
        <v>23</v>
      </c>
      <c r="D70" s="4" t="str">
        <f>'BID II'!B1059</f>
        <v>: Penyuluhan dan Pelatihan Bidang Kesehatan (Desa Siaga Kesehatan)</v>
      </c>
      <c r="E70" s="171">
        <v>3</v>
      </c>
      <c r="F70" s="28" t="s">
        <v>1187</v>
      </c>
      <c r="G70" s="169">
        <v>1</v>
      </c>
      <c r="H70" s="18" t="s">
        <v>1102</v>
      </c>
      <c r="I70" s="19" t="s">
        <v>1138</v>
      </c>
      <c r="J70" s="38" t="s">
        <v>2196</v>
      </c>
      <c r="K70" s="20" t="s">
        <v>1630</v>
      </c>
      <c r="L70" s="1122">
        <f>'BID II'!F1091</f>
        <v>1669600</v>
      </c>
      <c r="M70" s="35" t="s">
        <v>1104</v>
      </c>
      <c r="N70" s="35" t="s">
        <v>1105</v>
      </c>
    </row>
    <row r="71" spans="1:14" ht="78.75" customHeight="1" x14ac:dyDescent="0.25">
      <c r="A71" s="4"/>
      <c r="B71" s="4"/>
      <c r="C71" s="150">
        <v>24</v>
      </c>
      <c r="D71" s="4" t="str">
        <f>'BID II'!B1105</f>
        <v>: Penyuluhan dan Pelatihan Bidang Kesehatan ( Sosialisasi anjing rabies)</v>
      </c>
      <c r="E71" s="171">
        <v>3</v>
      </c>
      <c r="F71" s="28" t="s">
        <v>2500</v>
      </c>
      <c r="G71" s="169">
        <v>1</v>
      </c>
      <c r="H71" s="18" t="s">
        <v>1102</v>
      </c>
      <c r="I71" s="19" t="s">
        <v>1138</v>
      </c>
      <c r="J71" s="38" t="s">
        <v>2196</v>
      </c>
      <c r="K71" s="20" t="s">
        <v>1630</v>
      </c>
      <c r="L71" s="1122">
        <f>'BID II'!F1127</f>
        <v>1030000</v>
      </c>
      <c r="M71" s="35" t="s">
        <v>1104</v>
      </c>
      <c r="N71" s="35" t="s">
        <v>1105</v>
      </c>
    </row>
    <row r="72" spans="1:14" ht="97.5" customHeight="1" x14ac:dyDescent="0.25">
      <c r="A72" s="4"/>
      <c r="B72" s="4"/>
      <c r="C72" s="150">
        <v>25</v>
      </c>
      <c r="D72" s="4" t="str">
        <f>'BID II'!B1143</f>
        <v>:Penyelenggaraan Desa Siaga Kesehatan (Penyuluhan kesehatan keliling)</v>
      </c>
      <c r="E72" s="171">
        <v>3</v>
      </c>
      <c r="F72" s="28" t="s">
        <v>2501</v>
      </c>
      <c r="G72" s="169">
        <v>1</v>
      </c>
      <c r="H72" s="18" t="s">
        <v>1102</v>
      </c>
      <c r="I72" s="19" t="s">
        <v>1138</v>
      </c>
      <c r="J72" s="38" t="s">
        <v>2196</v>
      </c>
      <c r="K72" s="20" t="s">
        <v>1630</v>
      </c>
      <c r="L72" s="1122">
        <f>'BID II'!F1166</f>
        <v>13744000</v>
      </c>
      <c r="M72" s="35" t="s">
        <v>1104</v>
      </c>
      <c r="N72" s="35" t="s">
        <v>1105</v>
      </c>
    </row>
    <row r="73" spans="1:14" ht="63.75" customHeight="1" x14ac:dyDescent="0.25">
      <c r="A73" s="4"/>
      <c r="B73" s="4"/>
      <c r="C73" s="150">
        <v>26</v>
      </c>
      <c r="D73" s="4" t="str">
        <f>'BID II'!B1183</f>
        <v xml:space="preserve"> :  Pengasuhan Bersama atau Bina Keluarga Balita (Pelaksanaan Kegiatan Bina Keluarga Balita BKB )</v>
      </c>
      <c r="E73" s="171">
        <v>3</v>
      </c>
      <c r="F73" s="28" t="s">
        <v>1188</v>
      </c>
      <c r="G73" s="169">
        <v>1</v>
      </c>
      <c r="H73" s="18" t="s">
        <v>1102</v>
      </c>
      <c r="I73" s="19" t="s">
        <v>1106</v>
      </c>
      <c r="J73" s="19" t="s">
        <v>1651</v>
      </c>
      <c r="K73" s="20" t="s">
        <v>1630</v>
      </c>
      <c r="L73" s="1122">
        <f>'BID II'!F1209</f>
        <v>83212900</v>
      </c>
      <c r="M73" s="35" t="s">
        <v>1104</v>
      </c>
      <c r="N73" s="35" t="s">
        <v>1105</v>
      </c>
    </row>
    <row r="74" spans="1:14" ht="42.75" customHeight="1" x14ac:dyDescent="0.25">
      <c r="A74" s="4"/>
      <c r="B74" s="4"/>
      <c r="C74" s="150">
        <v>27</v>
      </c>
      <c r="D74" s="4" t="str">
        <f>'BID II'!B1223</f>
        <v xml:space="preserve"> :  Pengasuhan Bersama atau Bina Keluarga Lansia (Penyelenggaraan BKL)</v>
      </c>
      <c r="E74" s="171">
        <v>3</v>
      </c>
      <c r="F74" s="28" t="s">
        <v>1158</v>
      </c>
      <c r="G74" s="169">
        <v>1</v>
      </c>
      <c r="H74" s="18" t="s">
        <v>1102</v>
      </c>
      <c r="I74" s="19" t="s">
        <v>1106</v>
      </c>
      <c r="J74" s="19" t="s">
        <v>1650</v>
      </c>
      <c r="K74" s="20" t="s">
        <v>1630</v>
      </c>
      <c r="L74" s="1122">
        <f>'BID II'!F1247</f>
        <v>14133000</v>
      </c>
      <c r="M74" s="35" t="s">
        <v>1104</v>
      </c>
      <c r="N74" s="35" t="s">
        <v>1105</v>
      </c>
    </row>
    <row r="75" spans="1:14" ht="84" customHeight="1" x14ac:dyDescent="0.25">
      <c r="A75" s="4"/>
      <c r="B75" s="4"/>
      <c r="C75" s="150">
        <v>28</v>
      </c>
      <c r="D75" s="4" t="str">
        <f>'BID II'!B1261</f>
        <v>: : Penyuluhan dan Pelatihan Bidang Kesehatan untuk Masyarakat (Pembuatan Video Promosi Posyandu)</v>
      </c>
      <c r="E75" s="171">
        <v>3</v>
      </c>
      <c r="F75" s="28" t="s">
        <v>2190</v>
      </c>
      <c r="G75" s="169">
        <v>1</v>
      </c>
      <c r="H75" s="18" t="s">
        <v>1102</v>
      </c>
      <c r="I75" s="19" t="s">
        <v>1106</v>
      </c>
      <c r="J75" s="38" t="s">
        <v>2196</v>
      </c>
      <c r="K75" s="20" t="s">
        <v>1630</v>
      </c>
      <c r="L75" s="1122">
        <f>'BID II'!F1281</f>
        <v>0</v>
      </c>
      <c r="M75" s="35" t="s">
        <v>1104</v>
      </c>
      <c r="N75" s="35" t="s">
        <v>1105</v>
      </c>
    </row>
    <row r="76" spans="1:14" ht="60.75" customHeight="1" x14ac:dyDescent="0.25">
      <c r="A76" s="4"/>
      <c r="B76" s="4"/>
      <c r="C76" s="150">
        <v>29</v>
      </c>
      <c r="D76" s="4" t="str">
        <f>'BID II'!B1295</f>
        <v xml:space="preserve"> :  Pengasuhan Bersama atau Bina Keluarga Remaja (Penyelenggaraan BKR)</v>
      </c>
      <c r="E76" s="171">
        <v>3</v>
      </c>
      <c r="F76" s="28" t="s">
        <v>2193</v>
      </c>
      <c r="G76" s="169">
        <v>1</v>
      </c>
      <c r="H76" s="18" t="s">
        <v>1102</v>
      </c>
      <c r="I76" s="19" t="s">
        <v>1106</v>
      </c>
      <c r="J76" s="19" t="s">
        <v>1651</v>
      </c>
      <c r="K76" s="20" t="s">
        <v>1630</v>
      </c>
      <c r="L76" s="1122">
        <f>'BID II'!F1316</f>
        <v>14010000</v>
      </c>
      <c r="M76" s="35" t="s">
        <v>1104</v>
      </c>
      <c r="N76" s="35" t="s">
        <v>1105</v>
      </c>
    </row>
    <row r="77" spans="1:14" ht="60.75" customHeight="1" x14ac:dyDescent="0.25">
      <c r="A77" s="4"/>
      <c r="B77" s="4"/>
      <c r="C77" s="150">
        <v>30</v>
      </c>
      <c r="D77" s="4" t="str">
        <f>'BID II'!B1331</f>
        <v>:  Foging Fokus</v>
      </c>
      <c r="E77" s="171">
        <v>3</v>
      </c>
      <c r="F77" s="28" t="s">
        <v>2194</v>
      </c>
      <c r="G77" s="169">
        <v>1</v>
      </c>
      <c r="H77" s="18" t="s">
        <v>1102</v>
      </c>
      <c r="I77" s="19" t="s">
        <v>1106</v>
      </c>
      <c r="J77" s="38" t="s">
        <v>2196</v>
      </c>
      <c r="K77" s="20" t="s">
        <v>1630</v>
      </c>
      <c r="L77" s="1122">
        <f>'BID II'!F1360</f>
        <v>17510000</v>
      </c>
      <c r="M77" s="35"/>
      <c r="N77" s="35"/>
    </row>
    <row r="78" spans="1:14" ht="71.25" customHeight="1" x14ac:dyDescent="0.25">
      <c r="A78" s="4"/>
      <c r="B78" s="4"/>
      <c r="C78" s="150">
        <v>31</v>
      </c>
      <c r="D78" s="4" t="str">
        <f>'BID II'!B1374</f>
        <v>: Gerakan Serentak PSN dan Lomba PSN</v>
      </c>
      <c r="E78" s="171">
        <v>3</v>
      </c>
      <c r="F78" s="4" t="s">
        <v>2195</v>
      </c>
      <c r="G78" s="165">
        <v>1</v>
      </c>
      <c r="H78" s="4" t="s">
        <v>1102</v>
      </c>
      <c r="I78" s="19" t="s">
        <v>1106</v>
      </c>
      <c r="J78" s="38" t="s">
        <v>2196</v>
      </c>
      <c r="K78" s="20" t="s">
        <v>1630</v>
      </c>
      <c r="L78" s="1122">
        <f>'BID II'!F1413</f>
        <v>41507000</v>
      </c>
      <c r="M78" s="35" t="s">
        <v>1104</v>
      </c>
      <c r="N78" s="35" t="s">
        <v>1105</v>
      </c>
    </row>
    <row r="79" spans="1:14" ht="71.25" customHeight="1" x14ac:dyDescent="0.25">
      <c r="A79" s="4"/>
      <c r="B79" s="4"/>
      <c r="C79" s="150">
        <v>32</v>
      </c>
      <c r="D79" s="4" t="str">
        <f>'BID II'!B1426</f>
        <v xml:space="preserve">Penyelengggaraan TPPS Desa </v>
      </c>
      <c r="E79" s="171">
        <v>3</v>
      </c>
      <c r="F79" s="28" t="s">
        <v>1652</v>
      </c>
      <c r="G79" s="169">
        <v>1</v>
      </c>
      <c r="H79" s="18" t="s">
        <v>1102</v>
      </c>
      <c r="I79" s="19" t="s">
        <v>1106</v>
      </c>
      <c r="J79" s="38" t="s">
        <v>2196</v>
      </c>
      <c r="K79" s="20" t="s">
        <v>1630</v>
      </c>
      <c r="L79" s="1122">
        <f>'BID II'!F1450</f>
        <v>5236500</v>
      </c>
      <c r="M79" s="35" t="s">
        <v>1104</v>
      </c>
      <c r="N79" s="35" t="s">
        <v>1105</v>
      </c>
    </row>
    <row r="80" spans="1:14" ht="60.75" customHeight="1" x14ac:dyDescent="0.25">
      <c r="A80" s="4"/>
      <c r="B80" s="4"/>
      <c r="C80" s="150">
        <v>33</v>
      </c>
      <c r="D80" s="41" t="str">
        <f>'BID II'!B1463</f>
        <v>: Rembuk Stunting</v>
      </c>
      <c r="E80" s="1123">
        <v>3</v>
      </c>
      <c r="F80" s="28" t="s">
        <v>1653</v>
      </c>
      <c r="G80" s="169">
        <v>1</v>
      </c>
      <c r="H80" s="18" t="s">
        <v>1102</v>
      </c>
      <c r="I80" s="19" t="s">
        <v>1106</v>
      </c>
      <c r="J80" s="38" t="s">
        <v>2196</v>
      </c>
      <c r="K80" s="20" t="s">
        <v>1630</v>
      </c>
      <c r="L80" s="1122">
        <f>'BID II'!F1485</f>
        <v>2894687.09</v>
      </c>
      <c r="M80" s="35" t="s">
        <v>1104</v>
      </c>
      <c r="N80" s="35" t="s">
        <v>1105</v>
      </c>
    </row>
    <row r="81" spans="1:14" ht="80.25" customHeight="1" x14ac:dyDescent="0.25">
      <c r="A81" s="4"/>
      <c r="B81" s="4"/>
      <c r="C81" s="150">
        <v>34</v>
      </c>
      <c r="D81" s="4" t="str">
        <f>'BID II'!B1499</f>
        <v>: Penyelenggaraan Posyandu Remaja</v>
      </c>
      <c r="E81" s="1123">
        <v>3</v>
      </c>
      <c r="F81" s="28" t="s">
        <v>1192</v>
      </c>
      <c r="G81" s="169">
        <v>1</v>
      </c>
      <c r="H81" s="18" t="s">
        <v>1102</v>
      </c>
      <c r="I81" s="19" t="s">
        <v>1295</v>
      </c>
      <c r="J81" s="38" t="s">
        <v>2196</v>
      </c>
      <c r="K81" s="20" t="s">
        <v>1630</v>
      </c>
      <c r="L81" s="1122">
        <f>'BID II'!F1529</f>
        <v>61113400</v>
      </c>
      <c r="M81" s="35" t="s">
        <v>1104</v>
      </c>
      <c r="N81" s="35" t="s">
        <v>1105</v>
      </c>
    </row>
    <row r="82" spans="1:14" ht="80.25" customHeight="1" x14ac:dyDescent="0.25">
      <c r="A82" s="4"/>
      <c r="B82" s="4"/>
      <c r="C82" s="150">
        <v>35</v>
      </c>
      <c r="D82" s="4" t="str">
        <f>'BID II'!B1543</f>
        <v>Pemeliharaan Jalan Lingkungan Permukiman Gang Sekar Sari Baru II (Pembersihan Site)</v>
      </c>
      <c r="E82" s="1123">
        <v>9</v>
      </c>
      <c r="F82" s="28" t="s">
        <v>1192</v>
      </c>
      <c r="G82" s="169">
        <v>1</v>
      </c>
      <c r="H82" s="18" t="s">
        <v>1102</v>
      </c>
      <c r="I82" s="19" t="s">
        <v>2502</v>
      </c>
      <c r="J82" s="38" t="s">
        <v>2196</v>
      </c>
      <c r="K82" s="20" t="s">
        <v>1630</v>
      </c>
      <c r="L82" s="1122">
        <f>'BID II'!F1559</f>
        <v>5038800</v>
      </c>
      <c r="M82" s="35" t="s">
        <v>1104</v>
      </c>
      <c r="N82" s="35" t="s">
        <v>1105</v>
      </c>
    </row>
    <row r="83" spans="1:14" ht="80.25" customHeight="1" x14ac:dyDescent="0.25">
      <c r="A83" s="4"/>
      <c r="B83" s="4"/>
      <c r="C83" s="150">
        <v>36</v>
      </c>
      <c r="D83" s="4" t="str">
        <f>'BID II'!B1573</f>
        <v>Pemeliharaan Jalan Lingkungan Permukiman Gang Sekar Sari Baru II (Pemavingan)</v>
      </c>
      <c r="E83" s="1123">
        <v>9</v>
      </c>
      <c r="F83" s="28" t="s">
        <v>1192</v>
      </c>
      <c r="G83" s="169">
        <v>1</v>
      </c>
      <c r="H83" s="18" t="s">
        <v>1102</v>
      </c>
      <c r="I83" s="19" t="s">
        <v>2503</v>
      </c>
      <c r="J83" s="38" t="s">
        <v>2196</v>
      </c>
      <c r="K83" s="20" t="s">
        <v>1630</v>
      </c>
      <c r="L83" s="1122">
        <f>'BID II'!F1598</f>
        <v>37970000</v>
      </c>
      <c r="M83" s="35" t="s">
        <v>1104</v>
      </c>
      <c r="N83" s="35" t="s">
        <v>1105</v>
      </c>
    </row>
    <row r="84" spans="1:14" ht="80.25" customHeight="1" x14ac:dyDescent="0.25">
      <c r="A84" s="4"/>
      <c r="B84" s="4"/>
      <c r="C84" s="150">
        <v>37</v>
      </c>
      <c r="D84" s="4" t="str">
        <f>'BID II'!B1641</f>
        <v>Pemeliharaan Jalan Lingkungan Permukiman Gang Sekar Sari Baru II ( Rabat Pengunci Paving)</v>
      </c>
      <c r="E84" s="1123">
        <v>9</v>
      </c>
      <c r="F84" s="28" t="s">
        <v>1192</v>
      </c>
      <c r="G84" s="169">
        <v>1</v>
      </c>
      <c r="H84" s="18" t="s">
        <v>1102</v>
      </c>
      <c r="I84" s="19" t="s">
        <v>2504</v>
      </c>
      <c r="J84" s="38" t="s">
        <v>2196</v>
      </c>
      <c r="K84" s="20" t="s">
        <v>1630</v>
      </c>
      <c r="L84" s="1122">
        <f>'BID II'!F1663</f>
        <v>2620960</v>
      </c>
      <c r="M84" s="35" t="s">
        <v>1104</v>
      </c>
      <c r="N84" s="35" t="s">
        <v>1105</v>
      </c>
    </row>
    <row r="85" spans="1:14" ht="80.25" customHeight="1" x14ac:dyDescent="0.25">
      <c r="A85" s="4"/>
      <c r="B85" s="4"/>
      <c r="C85" s="150">
        <v>38</v>
      </c>
      <c r="D85" s="4" t="str">
        <f>'BID II'!B1676</f>
        <v>Pemeliharaan Jalan Lingkungan Permukiman /Gang Belakang SD (Pembersihan Site)</v>
      </c>
      <c r="E85" s="1123">
        <v>9</v>
      </c>
      <c r="F85" s="28" t="s">
        <v>2547</v>
      </c>
      <c r="G85" s="169">
        <v>1</v>
      </c>
      <c r="H85" s="18" t="s">
        <v>1102</v>
      </c>
      <c r="I85" s="19" t="s">
        <v>2505</v>
      </c>
      <c r="J85" s="38" t="s">
        <v>2196</v>
      </c>
      <c r="K85" s="20" t="s">
        <v>1630</v>
      </c>
      <c r="L85" s="1122">
        <f>'BID II'!F1692</f>
        <v>9547200</v>
      </c>
      <c r="M85" s="35" t="s">
        <v>1104</v>
      </c>
      <c r="N85" s="35" t="s">
        <v>1105</v>
      </c>
    </row>
    <row r="86" spans="1:14" ht="80.25" customHeight="1" x14ac:dyDescent="0.25">
      <c r="A86" s="4"/>
      <c r="B86" s="4"/>
      <c r="C86" s="150">
        <v>39</v>
      </c>
      <c r="D86" s="4" t="str">
        <f>'BID II'!B1708</f>
        <v>Pemeliharaan Jalan Lingkungan Permukiman /Gang Belakang SD (Pemavingan)</v>
      </c>
      <c r="E86" s="1123">
        <v>9</v>
      </c>
      <c r="F86" s="28" t="s">
        <v>2547</v>
      </c>
      <c r="G86" s="169">
        <v>1</v>
      </c>
      <c r="H86" s="18" t="s">
        <v>1102</v>
      </c>
      <c r="I86" s="19" t="s">
        <v>2506</v>
      </c>
      <c r="J86" s="38" t="s">
        <v>2196</v>
      </c>
      <c r="K86" s="20" t="s">
        <v>1630</v>
      </c>
      <c r="L86" s="1122">
        <f>'BID II'!F1732</f>
        <v>66939000</v>
      </c>
      <c r="M86" s="35" t="s">
        <v>1104</v>
      </c>
      <c r="N86" s="35" t="s">
        <v>1105</v>
      </c>
    </row>
    <row r="87" spans="1:14" ht="104.25" customHeight="1" x14ac:dyDescent="0.25">
      <c r="A87" s="4"/>
      <c r="B87" s="4"/>
      <c r="C87" s="150">
        <v>40</v>
      </c>
      <c r="D87" s="4" t="str">
        <f>'BID II'!B1745</f>
        <v>: Pembangunan Jalan Usaha Tani (Subak Temaga Munduk Pengiu PONDASI Batu Kali)</v>
      </c>
      <c r="E87" s="1123">
        <v>9</v>
      </c>
      <c r="F87" s="28" t="s">
        <v>2548</v>
      </c>
      <c r="G87" s="169">
        <v>1</v>
      </c>
      <c r="H87" s="18" t="s">
        <v>1102</v>
      </c>
      <c r="I87" s="19" t="s">
        <v>2507</v>
      </c>
      <c r="J87" s="38" t="s">
        <v>2196</v>
      </c>
      <c r="K87" s="20" t="s">
        <v>1630</v>
      </c>
      <c r="L87" s="1122">
        <f>'BID II'!F1770</f>
        <v>254201840</v>
      </c>
      <c r="M87" s="35" t="s">
        <v>1104</v>
      </c>
      <c r="N87" s="35" t="s">
        <v>1105</v>
      </c>
    </row>
    <row r="88" spans="1:14" ht="80.25" customHeight="1" x14ac:dyDescent="0.25">
      <c r="A88" s="4"/>
      <c r="B88" s="4"/>
      <c r="C88" s="150">
        <v>41</v>
      </c>
      <c r="D88" s="4" t="str">
        <f>'BID II'!B1785</f>
        <v>: Pembangunan Jalan Usaha Tani (Subak Temaga Munduk Pengiu GALIAN)</v>
      </c>
      <c r="E88" s="1123">
        <v>9</v>
      </c>
      <c r="F88" s="28" t="s">
        <v>2548</v>
      </c>
      <c r="G88" s="169">
        <v>1</v>
      </c>
      <c r="H88" s="18" t="s">
        <v>1102</v>
      </c>
      <c r="I88" s="19" t="s">
        <v>2508</v>
      </c>
      <c r="J88" s="38" t="s">
        <v>2196</v>
      </c>
      <c r="K88" s="20" t="s">
        <v>1630</v>
      </c>
      <c r="L88" s="1122">
        <f>'BID II'!F1801</f>
        <v>10210200</v>
      </c>
      <c r="M88" s="35" t="s">
        <v>1104</v>
      </c>
      <c r="N88" s="35" t="s">
        <v>1105</v>
      </c>
    </row>
    <row r="89" spans="1:14" ht="80.25" customHeight="1" x14ac:dyDescent="0.25">
      <c r="A89" s="4"/>
      <c r="B89" s="4"/>
      <c r="C89" s="150">
        <v>42</v>
      </c>
      <c r="D89" s="4" t="str">
        <f>'BID II'!B1816</f>
        <v>: Pembangunan Jalan Usaha Tani (Subak Temaga Munduk Pengiu URUGAN LIMESTONE)</v>
      </c>
      <c r="E89" s="1123">
        <v>9</v>
      </c>
      <c r="F89" s="28" t="s">
        <v>2548</v>
      </c>
      <c r="G89" s="169">
        <v>1</v>
      </c>
      <c r="H89" s="18" t="s">
        <v>1102</v>
      </c>
      <c r="I89" s="19" t="s">
        <v>2509</v>
      </c>
      <c r="J89" s="38" t="s">
        <v>2196</v>
      </c>
      <c r="K89" s="20" t="s">
        <v>1630</v>
      </c>
      <c r="L89" s="1122">
        <f>'BID II'!F1841</f>
        <v>101319040</v>
      </c>
      <c r="M89" s="35" t="s">
        <v>1104</v>
      </c>
      <c r="N89" s="35" t="s">
        <v>1105</v>
      </c>
    </row>
    <row r="90" spans="1:14" ht="80.25" customHeight="1" x14ac:dyDescent="0.25">
      <c r="A90" s="4"/>
      <c r="B90" s="4"/>
      <c r="C90" s="150">
        <v>43</v>
      </c>
      <c r="D90" s="4" t="str">
        <f>'BID II'!B1856</f>
        <v>: Pembangunan Jalan Usaha Tani (Subak Temaga Munduk Pengiu PEMBETONAN)</v>
      </c>
      <c r="E90" s="1123">
        <v>9</v>
      </c>
      <c r="F90" s="28" t="s">
        <v>2548</v>
      </c>
      <c r="G90" s="169">
        <v>1</v>
      </c>
      <c r="H90" s="18" t="s">
        <v>1102</v>
      </c>
      <c r="I90" s="19" t="s">
        <v>2510</v>
      </c>
      <c r="J90" s="38" t="s">
        <v>2196</v>
      </c>
      <c r="K90" s="20" t="s">
        <v>1630</v>
      </c>
      <c r="L90" s="1122">
        <f>'BID II'!F1879</f>
        <v>142162360</v>
      </c>
      <c r="M90" s="35" t="s">
        <v>1104</v>
      </c>
      <c r="N90" s="35" t="s">
        <v>1105</v>
      </c>
    </row>
    <row r="91" spans="1:14" ht="80.25" customHeight="1" x14ac:dyDescent="0.25">
      <c r="A91" s="4"/>
      <c r="B91" s="4"/>
      <c r="C91" s="150">
        <v>44</v>
      </c>
      <c r="D91" s="4" t="str">
        <f>'BID II'!B1894</f>
        <v>: Pembangunan Jalan Usaha Tani (Subak Temaga Munduk Pengiu BEKISTING)</v>
      </c>
      <c r="E91" s="1123">
        <v>9</v>
      </c>
      <c r="F91" s="28" t="s">
        <v>2548</v>
      </c>
      <c r="G91" s="169">
        <v>1</v>
      </c>
      <c r="H91" s="18" t="s">
        <v>1102</v>
      </c>
      <c r="I91" s="19" t="s">
        <v>2511</v>
      </c>
      <c r="J91" s="38" t="s">
        <v>2196</v>
      </c>
      <c r="K91" s="20" t="s">
        <v>1630</v>
      </c>
      <c r="L91" s="1122">
        <f>'BID II'!F1917</f>
        <v>70948500</v>
      </c>
      <c r="M91" s="35" t="s">
        <v>1104</v>
      </c>
      <c r="N91" s="35" t="s">
        <v>1105</v>
      </c>
    </row>
    <row r="92" spans="1:14" ht="80.25" customHeight="1" x14ac:dyDescent="0.25">
      <c r="A92" s="4"/>
      <c r="B92" s="4"/>
      <c r="C92" s="150">
        <v>45</v>
      </c>
      <c r="D92" s="4" t="str">
        <f>'BID II'!B1932</f>
        <v>: Pembangunan Jalan Usaha Tani (Subak Temaga Munduk Pengiu PEMBESIAN)</v>
      </c>
      <c r="E92" s="1123">
        <v>9</v>
      </c>
      <c r="F92" s="28" t="s">
        <v>2548</v>
      </c>
      <c r="G92" s="169">
        <v>1</v>
      </c>
      <c r="H92" s="18" t="s">
        <v>1102</v>
      </c>
      <c r="I92" s="19" t="s">
        <v>2512</v>
      </c>
      <c r="J92" s="38" t="s">
        <v>2196</v>
      </c>
      <c r="K92" s="20" t="s">
        <v>1630</v>
      </c>
      <c r="L92" s="1122">
        <f>'BID II'!F1953</f>
        <v>102831000</v>
      </c>
      <c r="M92" s="35" t="s">
        <v>1104</v>
      </c>
      <c r="N92" s="35" t="s">
        <v>1105</v>
      </c>
    </row>
    <row r="93" spans="1:14" ht="80.25" customHeight="1" x14ac:dyDescent="0.25">
      <c r="A93" s="4"/>
      <c r="B93" s="4"/>
      <c r="C93" s="150">
        <v>46</v>
      </c>
      <c r="D93" s="4" t="str">
        <f>'BID II'!B1968</f>
        <v>: Pembangunan Jalan Usaha Tani (Subak Temaga Munduk Pengiu RABAT BETON)</v>
      </c>
      <c r="E93" s="1123">
        <v>9</v>
      </c>
      <c r="F93" s="28" t="s">
        <v>2548</v>
      </c>
      <c r="G93" s="169">
        <v>1</v>
      </c>
      <c r="H93" s="18" t="s">
        <v>1102</v>
      </c>
      <c r="I93" s="19" t="s">
        <v>2513</v>
      </c>
      <c r="J93" s="38" t="s">
        <v>2196</v>
      </c>
      <c r="K93" s="20" t="s">
        <v>1630</v>
      </c>
      <c r="L93" s="1122">
        <f>'BID II'!F1991</f>
        <v>45980000</v>
      </c>
      <c r="M93" s="35" t="s">
        <v>1104</v>
      </c>
      <c r="N93" s="35" t="s">
        <v>1105</v>
      </c>
    </row>
    <row r="94" spans="1:14" ht="91.5" customHeight="1" x14ac:dyDescent="0.25">
      <c r="A94" s="4"/>
      <c r="B94" s="4"/>
      <c r="C94" s="150">
        <v>47</v>
      </c>
      <c r="D94" s="4" t="str">
        <f>'BID II'!B2008</f>
        <v>: Pembangunan Jalan Usaha Tani ( Subak Temaga Munduk Pengiu Pembersihan Site)</v>
      </c>
      <c r="E94" s="1123">
        <v>9</v>
      </c>
      <c r="F94" s="28" t="s">
        <v>2548</v>
      </c>
      <c r="G94" s="169">
        <v>1</v>
      </c>
      <c r="H94" s="18" t="s">
        <v>1102</v>
      </c>
      <c r="I94" s="19">
        <v>519.75</v>
      </c>
      <c r="J94" s="38" t="s">
        <v>2196</v>
      </c>
      <c r="K94" s="20" t="s">
        <v>1630</v>
      </c>
      <c r="L94" s="1122">
        <f>'BID II'!F2023</f>
        <v>1723800</v>
      </c>
      <c r="M94" s="35" t="s">
        <v>1104</v>
      </c>
      <c r="N94" s="35" t="s">
        <v>1105</v>
      </c>
    </row>
    <row r="95" spans="1:14" ht="80.25" customHeight="1" x14ac:dyDescent="0.25">
      <c r="A95" s="4"/>
      <c r="B95" s="4"/>
      <c r="C95" s="150">
        <v>48</v>
      </c>
      <c r="D95" s="4" t="str">
        <f>'BID II'!B2040</f>
        <v>: Pembangunan Jalan Usaha Tani (Subak Temaga Munduk Pengiu KOLOM PENGUAT BETON BERTULANG 20X20 )</v>
      </c>
      <c r="E95" s="1123">
        <v>9</v>
      </c>
      <c r="F95" s="28" t="s">
        <v>2548</v>
      </c>
      <c r="G95" s="169">
        <v>1</v>
      </c>
      <c r="H95" s="18" t="s">
        <v>1102</v>
      </c>
      <c r="I95" s="19" t="s">
        <v>2514</v>
      </c>
      <c r="J95" s="38" t="s">
        <v>2196</v>
      </c>
      <c r="K95" s="20" t="s">
        <v>1630</v>
      </c>
      <c r="L95" s="1122">
        <f>'BID II'!F2067</f>
        <v>20224560</v>
      </c>
      <c r="M95" s="35" t="s">
        <v>1104</v>
      </c>
      <c r="N95" s="35" t="s">
        <v>1105</v>
      </c>
    </row>
    <row r="96" spans="1:14" ht="80.25" customHeight="1" x14ac:dyDescent="0.25">
      <c r="A96" s="4"/>
      <c r="B96" s="4"/>
      <c r="C96" s="150">
        <v>49</v>
      </c>
      <c r="D96" s="4" t="str">
        <f>'BID II'!B2081</f>
        <v>: Pembangunan Jalan Usaha Tani (Subak Temaga Munduk Pengiu BEKISTING UNTUK PONDASI)</v>
      </c>
      <c r="E96" s="1123">
        <v>9</v>
      </c>
      <c r="F96" s="28" t="s">
        <v>2548</v>
      </c>
      <c r="G96" s="169">
        <v>1</v>
      </c>
      <c r="H96" s="18" t="s">
        <v>1102</v>
      </c>
      <c r="I96" s="19" t="s">
        <v>2516</v>
      </c>
      <c r="J96" s="38" t="s">
        <v>2196</v>
      </c>
      <c r="K96" s="20" t="s">
        <v>1630</v>
      </c>
      <c r="L96" s="1122">
        <f>'BID II'!F2104</f>
        <v>70946000</v>
      </c>
      <c r="M96" s="35" t="s">
        <v>1104</v>
      </c>
      <c r="N96" s="35" t="s">
        <v>1105</v>
      </c>
    </row>
    <row r="97" spans="1:14" ht="80.25" customHeight="1" x14ac:dyDescent="0.25">
      <c r="A97" s="4"/>
      <c r="B97" s="4"/>
      <c r="C97" s="150">
        <v>50</v>
      </c>
      <c r="D97" s="4" t="str">
        <f>'BID II'!B2119</f>
        <v>Pemeliharaan Jalan Lingkungan Permukiman Gang Lotus tembus gang pacah ( Pembersihan Site)</v>
      </c>
      <c r="E97" s="1123">
        <v>9</v>
      </c>
      <c r="F97" s="28" t="s">
        <v>2548</v>
      </c>
      <c r="G97" s="169">
        <v>1</v>
      </c>
      <c r="H97" s="18" t="s">
        <v>1102</v>
      </c>
      <c r="I97" s="19" t="s">
        <v>2305</v>
      </c>
      <c r="J97" s="38" t="s">
        <v>2196</v>
      </c>
      <c r="K97" s="20" t="s">
        <v>1630</v>
      </c>
      <c r="L97" s="1122">
        <f>'BID II'!F2135</f>
        <v>2900000</v>
      </c>
      <c r="M97" s="35" t="s">
        <v>1104</v>
      </c>
      <c r="N97" s="35" t="s">
        <v>1105</v>
      </c>
    </row>
    <row r="98" spans="1:14" ht="80.25" customHeight="1" x14ac:dyDescent="0.25">
      <c r="A98" s="4"/>
      <c r="B98" s="4"/>
      <c r="C98" s="150">
        <v>51</v>
      </c>
      <c r="D98" s="4" t="str">
        <f>'BID II'!B2148</f>
        <v>Pemeliharaan Jalan Lingkungan Permukiman Gang Lotus Tembus Gang Pacah( Galian)</v>
      </c>
      <c r="E98" s="1123">
        <v>9</v>
      </c>
      <c r="F98" s="28" t="s">
        <v>2548</v>
      </c>
      <c r="G98" s="169">
        <v>1</v>
      </c>
      <c r="H98" s="18" t="s">
        <v>1102</v>
      </c>
      <c r="I98" s="19" t="s">
        <v>2517</v>
      </c>
      <c r="J98" s="38" t="s">
        <v>2196</v>
      </c>
      <c r="K98" s="20" t="s">
        <v>1630</v>
      </c>
      <c r="L98" s="1122">
        <f>'BID II'!F2164</f>
        <v>2187900</v>
      </c>
      <c r="M98" s="35" t="s">
        <v>1104</v>
      </c>
      <c r="N98" s="35" t="s">
        <v>1105</v>
      </c>
    </row>
    <row r="99" spans="1:14" ht="80.25" customHeight="1" x14ac:dyDescent="0.25">
      <c r="A99" s="4"/>
      <c r="B99" s="4"/>
      <c r="C99" s="150">
        <v>52</v>
      </c>
      <c r="D99" s="4" t="str">
        <f>'BID II'!B2187</f>
        <v>Pemeliharaan Jalan Lingkungan Permukiman Gang Lotus Tembus Gang Pacah ( PONDASI BATU KALI)</v>
      </c>
      <c r="E99" s="1123">
        <v>9</v>
      </c>
      <c r="F99" s="28" t="s">
        <v>2548</v>
      </c>
      <c r="G99" s="169">
        <v>1</v>
      </c>
      <c r="H99" s="18" t="s">
        <v>1102</v>
      </c>
      <c r="I99" s="19" t="s">
        <v>2518</v>
      </c>
      <c r="J99" s="38" t="s">
        <v>2196</v>
      </c>
      <c r="K99" s="20" t="s">
        <v>1630</v>
      </c>
      <c r="L99" s="1122">
        <f>'BID II'!F2216</f>
        <v>22241320</v>
      </c>
      <c r="M99" s="35" t="s">
        <v>1104</v>
      </c>
      <c r="N99" s="35" t="s">
        <v>1105</v>
      </c>
    </row>
    <row r="100" spans="1:14" ht="80.25" customHeight="1" x14ac:dyDescent="0.25">
      <c r="A100" s="4"/>
      <c r="B100" s="4"/>
      <c r="C100" s="150">
        <v>53</v>
      </c>
      <c r="D100" s="4" t="str">
        <f>'BID II'!B2244</f>
        <v>Pemeliharaan Jalan Lingkungan Permukiman Gang Lotus Tembus Gang Pacah ( Pondasi Beton Bertulang)</v>
      </c>
      <c r="E100" s="1123">
        <v>9</v>
      </c>
      <c r="F100" s="28" t="s">
        <v>2548</v>
      </c>
      <c r="G100" s="169">
        <v>1</v>
      </c>
      <c r="H100" s="18" t="s">
        <v>1102</v>
      </c>
      <c r="I100" s="19" t="s">
        <v>2519</v>
      </c>
      <c r="J100" s="38" t="s">
        <v>2196</v>
      </c>
      <c r="K100" s="20" t="s">
        <v>1630</v>
      </c>
      <c r="L100" s="1122">
        <f>'BID II'!F2266</f>
        <v>10202320</v>
      </c>
      <c r="M100" s="35" t="s">
        <v>1104</v>
      </c>
      <c r="N100" s="35" t="s">
        <v>1105</v>
      </c>
    </row>
    <row r="101" spans="1:14" ht="80.25" customHeight="1" x14ac:dyDescent="0.25">
      <c r="A101" s="4"/>
      <c r="B101" s="4"/>
      <c r="C101" s="150">
        <v>54</v>
      </c>
      <c r="D101" s="4" t="str">
        <f>'BID II'!B2285</f>
        <v>Pemeliharaan Jalan Lingkungan Permukiman Gang Lotus Tembus Gang Pacah ( COR PLAT PENUTUP GOT)</v>
      </c>
      <c r="E101" s="1123">
        <v>9</v>
      </c>
      <c r="F101" s="28" t="s">
        <v>2548</v>
      </c>
      <c r="G101" s="169">
        <v>1</v>
      </c>
      <c r="H101" s="18" t="s">
        <v>1102</v>
      </c>
      <c r="I101" s="19" t="s">
        <v>2520</v>
      </c>
      <c r="J101" s="38" t="s">
        <v>2196</v>
      </c>
      <c r="K101" s="20" t="s">
        <v>1630</v>
      </c>
      <c r="L101" s="1122">
        <f>'BID II'!F2307</f>
        <v>12235526</v>
      </c>
      <c r="M101" s="35" t="s">
        <v>1104</v>
      </c>
      <c r="N101" s="35" t="s">
        <v>1105</v>
      </c>
    </row>
    <row r="102" spans="1:14" ht="80.25" customHeight="1" x14ac:dyDescent="0.25">
      <c r="A102" s="4"/>
      <c r="B102" s="4"/>
      <c r="C102" s="150">
        <v>55</v>
      </c>
      <c r="D102" s="4" t="str">
        <f>'BID II'!B2329</f>
        <v>Pemeliharaan Jalan Lingkungan Permukiman Gang Lotus Tembus Gang Pacah ( PEMBESIAN)</v>
      </c>
      <c r="E102" s="1123">
        <v>9</v>
      </c>
      <c r="F102" s="28" t="s">
        <v>2548</v>
      </c>
      <c r="G102" s="169">
        <v>1</v>
      </c>
      <c r="H102" s="18" t="s">
        <v>1102</v>
      </c>
      <c r="I102" s="19" t="s">
        <v>2521</v>
      </c>
      <c r="J102" s="38" t="s">
        <v>2196</v>
      </c>
      <c r="K102" s="20" t="s">
        <v>1630</v>
      </c>
      <c r="L102" s="1122">
        <f>'BID II'!F2349</f>
        <v>63348640</v>
      </c>
      <c r="M102" s="35" t="s">
        <v>1104</v>
      </c>
      <c r="N102" s="35" t="s">
        <v>1105</v>
      </c>
    </row>
    <row r="103" spans="1:14" ht="80.25" customHeight="1" x14ac:dyDescent="0.25">
      <c r="A103" s="4"/>
      <c r="B103" s="4"/>
      <c r="C103" s="150">
        <v>56</v>
      </c>
      <c r="D103" s="4" t="str">
        <f>'BID II'!B2372</f>
        <v>Pemeliharaan Jalan Lingkungan Permukiman Gang Lotus Tembus Gang Pacah (URUGAN)</v>
      </c>
      <c r="E103" s="1123">
        <v>9</v>
      </c>
      <c r="F103" s="28" t="s">
        <v>2548</v>
      </c>
      <c r="G103" s="169">
        <v>1</v>
      </c>
      <c r="H103" s="18" t="s">
        <v>1102</v>
      </c>
      <c r="I103" s="19" t="s">
        <v>2522</v>
      </c>
      <c r="J103" s="38" t="s">
        <v>2196</v>
      </c>
      <c r="K103" s="20" t="s">
        <v>1630</v>
      </c>
      <c r="L103" s="1122">
        <f>'BID II'!F2395</f>
        <v>10848580</v>
      </c>
      <c r="M103" s="35" t="s">
        <v>1104</v>
      </c>
      <c r="N103" s="35" t="s">
        <v>1105</v>
      </c>
    </row>
    <row r="104" spans="1:14" ht="80.25" customHeight="1" x14ac:dyDescent="0.25">
      <c r="A104" s="4"/>
      <c r="B104" s="4"/>
      <c r="C104" s="150">
        <v>57</v>
      </c>
      <c r="D104" s="4" t="str">
        <f>'BID II'!B2418</f>
        <v>Pemeliharaan Jalan Lingkungan Permukiman Gang Lotus Tembus Gang Pacah ( COR JALAN)</v>
      </c>
      <c r="E104" s="1123">
        <v>9</v>
      </c>
      <c r="F104" s="28" t="s">
        <v>2548</v>
      </c>
      <c r="G104" s="169">
        <v>1</v>
      </c>
      <c r="H104" s="18" t="s">
        <v>1102</v>
      </c>
      <c r="I104" s="19" t="s">
        <v>2523</v>
      </c>
      <c r="J104" s="38" t="s">
        <v>2196</v>
      </c>
      <c r="K104" s="20" t="s">
        <v>1630</v>
      </c>
      <c r="L104" s="1122">
        <f>'BID II'!F2440</f>
        <v>11837960</v>
      </c>
      <c r="M104" s="35" t="s">
        <v>1104</v>
      </c>
      <c r="N104" s="35" t="s">
        <v>1105</v>
      </c>
    </row>
    <row r="105" spans="1:14" ht="80.25" customHeight="1" x14ac:dyDescent="0.25">
      <c r="A105" s="4"/>
      <c r="B105" s="4"/>
      <c r="C105" s="150">
        <v>58</v>
      </c>
      <c r="D105" s="4" t="str">
        <f>'BID II'!B2466</f>
        <v>Pemeliharaan Jalan Lingkungan Permukiman Gang Lotus Pembus Gang Pacah ( BEKISTING PONDASI)</v>
      </c>
      <c r="E105" s="1123">
        <v>9</v>
      </c>
      <c r="F105" s="28" t="s">
        <v>2548</v>
      </c>
      <c r="G105" s="169">
        <v>1</v>
      </c>
      <c r="H105" s="18" t="s">
        <v>1102</v>
      </c>
      <c r="I105" s="19" t="s">
        <v>2524</v>
      </c>
      <c r="J105" s="38" t="s">
        <v>2196</v>
      </c>
      <c r="K105" s="20" t="s">
        <v>1630</v>
      </c>
      <c r="L105" s="1122">
        <f>'BID II'!F2489</f>
        <v>5679060</v>
      </c>
      <c r="M105" s="35" t="s">
        <v>1104</v>
      </c>
      <c r="N105" s="35" t="s">
        <v>1105</v>
      </c>
    </row>
    <row r="106" spans="1:14" ht="80.25" customHeight="1" x14ac:dyDescent="0.25">
      <c r="A106" s="4"/>
      <c r="B106" s="4"/>
      <c r="C106" s="150">
        <v>59</v>
      </c>
      <c r="D106" s="4" t="str">
        <f>'BID II'!B2519</f>
        <v>Pemeliharaan Jalan Lingkungan Permukiman Gang Lotus Tembus Gang Pacah( BEKISTING PLAT TUTUP GOT)</v>
      </c>
      <c r="E106" s="1123">
        <v>9</v>
      </c>
      <c r="F106" s="28" t="s">
        <v>2548</v>
      </c>
      <c r="G106" s="169">
        <v>1</v>
      </c>
      <c r="H106" s="18" t="s">
        <v>1102</v>
      </c>
      <c r="I106" s="19" t="s">
        <v>2525</v>
      </c>
      <c r="J106" s="38" t="s">
        <v>2196</v>
      </c>
      <c r="K106" s="20" t="s">
        <v>1630</v>
      </c>
      <c r="L106" s="1122">
        <f>'BID II'!F2539</f>
        <v>4641400</v>
      </c>
      <c r="M106" s="35" t="s">
        <v>1104</v>
      </c>
      <c r="N106" s="35" t="s">
        <v>1105</v>
      </c>
    </row>
    <row r="107" spans="1:14" ht="80.25" customHeight="1" x14ac:dyDescent="0.25">
      <c r="A107" s="4"/>
      <c r="B107" s="4"/>
      <c r="C107" s="150">
        <v>60</v>
      </c>
      <c r="D107" s="4" t="str">
        <f>'BID II'!B2553</f>
        <v>Pemeliharaan Jalan Lingkungan Permukiman/Gang Plamboyan I (Pembersihan Site)</v>
      </c>
      <c r="E107" s="1123">
        <v>9</v>
      </c>
      <c r="F107" s="28" t="s">
        <v>2548</v>
      </c>
      <c r="G107" s="169">
        <v>1</v>
      </c>
      <c r="H107" s="18" t="s">
        <v>1102</v>
      </c>
      <c r="I107" s="19" t="s">
        <v>2526</v>
      </c>
      <c r="J107" s="38" t="s">
        <v>2196</v>
      </c>
      <c r="K107" s="20" t="s">
        <v>1630</v>
      </c>
      <c r="L107" s="1122">
        <f>'BID II'!F2569</f>
        <v>4243200</v>
      </c>
      <c r="M107" s="35" t="s">
        <v>1104</v>
      </c>
      <c r="N107" s="35" t="s">
        <v>1105</v>
      </c>
    </row>
    <row r="108" spans="1:14" ht="80.25" customHeight="1" x14ac:dyDescent="0.25">
      <c r="A108" s="4"/>
      <c r="B108" s="4"/>
      <c r="C108" s="150">
        <v>61</v>
      </c>
      <c r="D108" s="4" t="str">
        <f>'BID II'!B2577</f>
        <v>Pemeliharaan Jalan Lingkungan Permukiman/Gang Plamboyan I (Pemavingan)</v>
      </c>
      <c r="E108" s="1123">
        <v>9</v>
      </c>
      <c r="F108" s="28" t="s">
        <v>2548</v>
      </c>
      <c r="G108" s="169">
        <v>1</v>
      </c>
      <c r="H108" s="18" t="s">
        <v>1102</v>
      </c>
      <c r="I108" s="19" t="s">
        <v>2527</v>
      </c>
      <c r="J108" s="38" t="s">
        <v>2196</v>
      </c>
      <c r="K108" s="20" t="s">
        <v>1630</v>
      </c>
      <c r="L108" s="1122">
        <f>'BID II'!F2601</f>
        <v>167482320</v>
      </c>
      <c r="M108" s="35" t="s">
        <v>1104</v>
      </c>
      <c r="N108" s="35" t="s">
        <v>1105</v>
      </c>
    </row>
    <row r="109" spans="1:14" ht="80.25" customHeight="1" x14ac:dyDescent="0.25">
      <c r="A109" s="4"/>
      <c r="B109" s="4"/>
      <c r="C109" s="150">
        <v>62</v>
      </c>
      <c r="D109" s="4" t="str">
        <f>'BID II'!B2608</f>
        <v>Pemeliharaan Jalan Lingkungan Permukiman/Gang Plamboyan I (Rabat Beton)</v>
      </c>
      <c r="E109" s="1123">
        <v>99</v>
      </c>
      <c r="F109" s="28" t="s">
        <v>2548</v>
      </c>
      <c r="G109" s="169">
        <v>1</v>
      </c>
      <c r="H109" s="18" t="s">
        <v>1102</v>
      </c>
      <c r="I109" s="19" t="s">
        <v>2528</v>
      </c>
      <c r="J109" s="38" t="s">
        <v>2196</v>
      </c>
      <c r="K109" s="20" t="s">
        <v>1630</v>
      </c>
      <c r="L109" s="1122">
        <f>'BID II'!F2630</f>
        <v>16004050</v>
      </c>
      <c r="M109" s="35" t="s">
        <v>1104</v>
      </c>
      <c r="N109" s="35" t="s">
        <v>1105</v>
      </c>
    </row>
    <row r="110" spans="1:14" ht="80.25" customHeight="1" x14ac:dyDescent="0.25">
      <c r="A110" s="4"/>
      <c r="B110" s="4"/>
      <c r="C110" s="150">
        <v>63</v>
      </c>
      <c r="D110" s="4" t="str">
        <f>'BID II'!B2711</f>
        <v>: Pemeliharaan Jalan Usaha Tani (Perbaikan Subak Temaga Munduk Pengiu pembersihan site)</v>
      </c>
      <c r="E110" s="1123">
        <v>9</v>
      </c>
      <c r="F110" s="28" t="s">
        <v>2548</v>
      </c>
      <c r="G110" s="169">
        <v>1</v>
      </c>
      <c r="H110" s="18" t="s">
        <v>1102</v>
      </c>
      <c r="I110" s="19" t="s">
        <v>2529</v>
      </c>
      <c r="J110" s="38" t="s">
        <v>2196</v>
      </c>
      <c r="K110" s="20" t="s">
        <v>1630</v>
      </c>
      <c r="L110" s="1122">
        <f>'BID II'!F2727</f>
        <v>3203200</v>
      </c>
      <c r="M110" s="35" t="s">
        <v>1104</v>
      </c>
      <c r="N110" s="35" t="s">
        <v>1105</v>
      </c>
    </row>
    <row r="111" spans="1:14" ht="80.25" customHeight="1" x14ac:dyDescent="0.25">
      <c r="A111" s="4"/>
      <c r="B111" s="4"/>
      <c r="C111" s="150">
        <v>64</v>
      </c>
      <c r="D111" s="4" t="str">
        <f>'BID II'!B2743</f>
        <v>: Pemeliharaan Jalan Usaha Tani (Perbaikan Subak Temaga Munduk Pengiu PEMAVINGAN)</v>
      </c>
      <c r="E111" s="1123">
        <v>9</v>
      </c>
      <c r="F111" s="28" t="s">
        <v>2548</v>
      </c>
      <c r="G111" s="169">
        <v>1</v>
      </c>
      <c r="H111" s="18" t="s">
        <v>1102</v>
      </c>
      <c r="I111" s="19" t="s">
        <v>2529</v>
      </c>
      <c r="J111" s="38" t="s">
        <v>2196</v>
      </c>
      <c r="K111" s="20" t="s">
        <v>1630</v>
      </c>
      <c r="L111" s="1122">
        <f>'BID II'!F2768</f>
        <v>29551000</v>
      </c>
      <c r="M111" s="35" t="s">
        <v>1104</v>
      </c>
      <c r="N111" s="35" t="s">
        <v>1105</v>
      </c>
    </row>
    <row r="112" spans="1:14" ht="73.5" customHeight="1" x14ac:dyDescent="0.25">
      <c r="A112" s="4"/>
      <c r="B112" s="4"/>
      <c r="C112" s="150">
        <v>65</v>
      </c>
      <c r="D112" s="4" t="str">
        <f>'BID II'!B2784</f>
        <v>: Kegiatan Pengelolaan Sampah Tingkat Desa</v>
      </c>
      <c r="E112" s="1123" t="s">
        <v>1641</v>
      </c>
      <c r="F112" s="28" t="s">
        <v>2197</v>
      </c>
      <c r="G112" s="169">
        <v>1</v>
      </c>
      <c r="H112" s="18" t="s">
        <v>1102</v>
      </c>
      <c r="I112" s="19" t="s">
        <v>1103</v>
      </c>
      <c r="J112" s="38" t="s">
        <v>2196</v>
      </c>
      <c r="K112" s="20" t="s">
        <v>1630</v>
      </c>
      <c r="L112" s="1122">
        <f>'BID II'!F2851</f>
        <v>524669000</v>
      </c>
      <c r="M112" s="35" t="s">
        <v>1104</v>
      </c>
      <c r="N112" s="35" t="s">
        <v>1105</v>
      </c>
    </row>
    <row r="113" spans="1:15" ht="42.75" customHeight="1" x14ac:dyDescent="0.25">
      <c r="A113" s="4"/>
      <c r="B113" s="4"/>
      <c r="C113" s="150">
        <v>66</v>
      </c>
      <c r="D113" s="4" t="str">
        <f>'BID II'!B2866</f>
        <v>: Kegiatan Pengelolaan Sampah Tingkat Desa (Oprasional TPS3R)</v>
      </c>
      <c r="E113" s="1123" t="s">
        <v>1641</v>
      </c>
      <c r="F113" s="28" t="s">
        <v>2198</v>
      </c>
      <c r="G113" s="169">
        <v>1</v>
      </c>
      <c r="H113" s="18" t="s">
        <v>1102</v>
      </c>
      <c r="I113" s="19" t="s">
        <v>1103</v>
      </c>
      <c r="J113" s="38" t="s">
        <v>2196</v>
      </c>
      <c r="K113" s="20" t="s">
        <v>1630</v>
      </c>
      <c r="L113" s="1122">
        <f>'BID II'!F2927</f>
        <v>185773100</v>
      </c>
      <c r="M113" s="35" t="s">
        <v>1104</v>
      </c>
      <c r="N113" s="35" t="s">
        <v>1105</v>
      </c>
    </row>
    <row r="114" spans="1:15" ht="76.5" customHeight="1" x14ac:dyDescent="0.25">
      <c r="A114" s="4"/>
      <c r="B114" s="4"/>
      <c r="C114" s="150">
        <v>67</v>
      </c>
      <c r="D114" s="4" t="str">
        <f>'BID II'!B2942</f>
        <v>: Pemeiliharaan Fasilitas Pengelolaan Sampah Desa/ Pemukiman (Operasional Kegiatan Bank Sampah Desa)</v>
      </c>
      <c r="E114" s="1123" t="s">
        <v>1641</v>
      </c>
      <c r="F114" s="4" t="s">
        <v>2199</v>
      </c>
      <c r="G114" s="169">
        <v>1</v>
      </c>
      <c r="H114" s="18" t="s">
        <v>1102</v>
      </c>
      <c r="I114" s="19" t="s">
        <v>1103</v>
      </c>
      <c r="J114" s="38" t="s">
        <v>2196</v>
      </c>
      <c r="K114" s="20" t="s">
        <v>1630</v>
      </c>
      <c r="L114" s="1122">
        <f>'BID II'!F2973</f>
        <v>25756700</v>
      </c>
      <c r="M114" s="35" t="s">
        <v>1104</v>
      </c>
      <c r="N114" s="35" t="s">
        <v>1105</v>
      </c>
    </row>
    <row r="115" spans="1:15" ht="51" customHeight="1" x14ac:dyDescent="0.25">
      <c r="A115" s="4"/>
      <c r="B115" s="4"/>
      <c r="C115" s="150">
        <v>68</v>
      </c>
      <c r="D115" s="4" t="str">
        <f>'BID II'!B2987</f>
        <v>: Operasional Tim Kebersihan Lingkungan</v>
      </c>
      <c r="E115" s="1123" t="s">
        <v>1641</v>
      </c>
      <c r="F115" s="4" t="s">
        <v>2200</v>
      </c>
      <c r="G115" s="169">
        <v>1</v>
      </c>
      <c r="H115" s="18" t="s">
        <v>1102</v>
      </c>
      <c r="I115" s="19" t="s">
        <v>1103</v>
      </c>
      <c r="J115" s="38" t="s">
        <v>1654</v>
      </c>
      <c r="K115" s="20" t="s">
        <v>1630</v>
      </c>
      <c r="L115" s="1122">
        <f>'BID II'!F3020</f>
        <v>101527164.70999996</v>
      </c>
      <c r="M115" s="35" t="s">
        <v>1104</v>
      </c>
      <c r="N115" s="35" t="s">
        <v>1105</v>
      </c>
    </row>
    <row r="116" spans="1:15" ht="51" customHeight="1" x14ac:dyDescent="0.25">
      <c r="A116" s="4"/>
      <c r="B116" s="4"/>
      <c r="C116" s="150">
        <v>69</v>
      </c>
      <c r="D116" s="4" t="str">
        <f>'BID II'!B3034</f>
        <v>: TIM KEBERSIHAN SUNGAI</v>
      </c>
      <c r="E116" s="1123" t="s">
        <v>1641</v>
      </c>
      <c r="F116" s="4" t="s">
        <v>2200</v>
      </c>
      <c r="G116" s="169">
        <v>1</v>
      </c>
      <c r="H116" s="18" t="s">
        <v>1102</v>
      </c>
      <c r="I116" s="19" t="s">
        <v>1103</v>
      </c>
      <c r="J116" s="38" t="s">
        <v>1654</v>
      </c>
      <c r="K116" s="20" t="s">
        <v>1630</v>
      </c>
      <c r="L116" s="1122">
        <f>'BID II'!F3056</f>
        <v>67974000</v>
      </c>
      <c r="M116" s="35" t="s">
        <v>1104</v>
      </c>
      <c r="N116" s="35" t="s">
        <v>1105</v>
      </c>
    </row>
    <row r="117" spans="1:15" ht="79.5" customHeight="1" x14ac:dyDescent="0.25">
      <c r="A117" s="4"/>
      <c r="B117" s="4"/>
      <c r="C117" s="150">
        <v>70</v>
      </c>
      <c r="D117" s="4" t="str">
        <f>'BID II'!B3072</f>
        <v>Pembangunan Fasilitas Pengelolaan Sampah (Jalan TRPS3R)</v>
      </c>
      <c r="E117" s="1123" t="s">
        <v>1641</v>
      </c>
      <c r="F117" s="4" t="s">
        <v>2207</v>
      </c>
      <c r="G117" s="169">
        <v>1</v>
      </c>
      <c r="H117" s="18" t="s">
        <v>1102</v>
      </c>
      <c r="I117" s="19" t="s">
        <v>1103</v>
      </c>
      <c r="J117" s="38" t="s">
        <v>2196</v>
      </c>
      <c r="K117" s="20" t="s">
        <v>1630</v>
      </c>
      <c r="L117" s="1122">
        <f>'BID II'!F3088</f>
        <v>450750000</v>
      </c>
      <c r="M117" s="35" t="s">
        <v>1104</v>
      </c>
      <c r="N117" s="35" t="s">
        <v>1105</v>
      </c>
    </row>
    <row r="118" spans="1:15" ht="79.5" customHeight="1" x14ac:dyDescent="0.25">
      <c r="A118" s="4"/>
      <c r="B118" s="4"/>
      <c r="C118" s="150">
        <v>71</v>
      </c>
      <c r="D118" s="4" t="str">
        <f>'BID II'!B3102</f>
        <v>: Sosialisasi tentang Lingkungan Hidup dan Kehutanan (Sosialisasi Pemilihan Sampah Rumah Tangga)</v>
      </c>
      <c r="E118" s="1123" t="s">
        <v>1641</v>
      </c>
      <c r="F118" s="4" t="s">
        <v>2207</v>
      </c>
      <c r="G118" s="169">
        <v>1</v>
      </c>
      <c r="H118" s="18" t="s">
        <v>1102</v>
      </c>
      <c r="I118" s="19" t="s">
        <v>1103</v>
      </c>
      <c r="J118" s="38" t="s">
        <v>2196</v>
      </c>
      <c r="K118" s="20" t="s">
        <v>1630</v>
      </c>
      <c r="L118" s="1122">
        <f>'BID II'!F3130</f>
        <v>24715000</v>
      </c>
      <c r="M118" s="35" t="s">
        <v>1104</v>
      </c>
      <c r="N118" s="35" t="s">
        <v>1105</v>
      </c>
    </row>
    <row r="119" spans="1:15" ht="65.25" customHeight="1" thickBot="1" x14ac:dyDescent="0.3">
      <c r="A119" s="4"/>
      <c r="B119" s="4"/>
      <c r="C119" s="150">
        <v>72</v>
      </c>
      <c r="D119" s="4" t="str">
        <f>'BID II'!B3145</f>
        <v>: Penyelenggaraan Informasi Publik Desa ( Pembuatan dan Pemasangan Baliho APBDesa )</v>
      </c>
      <c r="E119" s="1123">
        <v>16</v>
      </c>
      <c r="F119" s="4" t="s">
        <v>2208</v>
      </c>
      <c r="G119" s="169">
        <v>1</v>
      </c>
      <c r="H119" s="18" t="s">
        <v>1102</v>
      </c>
      <c r="I119" s="19" t="s">
        <v>1103</v>
      </c>
      <c r="J119" s="38" t="s">
        <v>2196</v>
      </c>
      <c r="K119" s="20" t="s">
        <v>1630</v>
      </c>
      <c r="L119" s="1122">
        <f>'BID II'!F3155</f>
        <v>3000000</v>
      </c>
      <c r="M119" s="35" t="s">
        <v>1104</v>
      </c>
      <c r="N119" s="35" t="s">
        <v>1105</v>
      </c>
    </row>
    <row r="120" spans="1:15" x14ac:dyDescent="0.25">
      <c r="A120" s="2078" t="s">
        <v>1479</v>
      </c>
      <c r="B120" s="2079"/>
      <c r="C120" s="2079"/>
      <c r="D120" s="2079"/>
      <c r="E120" s="2079"/>
      <c r="F120" s="2079"/>
      <c r="G120" s="2079"/>
      <c r="H120" s="2079"/>
      <c r="I120" s="2079"/>
      <c r="J120" s="2079"/>
      <c r="K120" s="2080"/>
      <c r="L120" s="1124">
        <f>SUM(L48:L119)</f>
        <v>4315006262.0699997</v>
      </c>
      <c r="M120" s="166"/>
      <c r="N120" s="33"/>
      <c r="O120" s="172">
        <f>L120+L47</f>
        <v>8029265604.0199995</v>
      </c>
    </row>
    <row r="121" spans="1:15" ht="63" x14ac:dyDescent="0.25">
      <c r="A121" s="1"/>
      <c r="B121" s="4" t="str">
        <f>'BID III'!B5</f>
        <v>: Pembinaan Kemasyarakatan Desa</v>
      </c>
      <c r="C121" s="34">
        <v>1</v>
      </c>
      <c r="D121" s="4" t="str">
        <f>'BID III'!B7</f>
        <v>:Koordinasi Pembinaan Ketentraman, Ketertiban, dan Perlindungan Masyarakat (Pengamanan Pengerupukan)</v>
      </c>
      <c r="E121" s="171" t="s">
        <v>1640</v>
      </c>
      <c r="F121" s="28" t="s">
        <v>1111</v>
      </c>
      <c r="G121" s="169">
        <v>1</v>
      </c>
      <c r="H121" s="18" t="s">
        <v>1102</v>
      </c>
      <c r="I121" s="19" t="s">
        <v>1106</v>
      </c>
      <c r="J121" s="38" t="s">
        <v>2196</v>
      </c>
      <c r="K121" s="20" t="s">
        <v>1630</v>
      </c>
      <c r="L121" s="118">
        <f>'BID III'!F26</f>
        <v>6910000</v>
      </c>
      <c r="M121" s="35" t="s">
        <v>1104</v>
      </c>
      <c r="N121" s="35" t="s">
        <v>1105</v>
      </c>
      <c r="O121" s="3"/>
    </row>
    <row r="122" spans="1:15" ht="63" x14ac:dyDescent="0.25">
      <c r="A122" s="1"/>
      <c r="B122" s="4"/>
      <c r="C122" s="34">
        <v>2</v>
      </c>
      <c r="D122" s="4" t="str">
        <f>'BID III'!B40</f>
        <v>: Koordinasi Pembinaan Ketentraman, Ketertiban, dan Perlindungan Masyarakat (Pengamanan Tahun Baru)</v>
      </c>
      <c r="E122" s="171" t="s">
        <v>1640</v>
      </c>
      <c r="F122" s="28" t="s">
        <v>1111</v>
      </c>
      <c r="G122" s="169">
        <v>1</v>
      </c>
      <c r="H122" s="18" t="s">
        <v>1102</v>
      </c>
      <c r="I122" s="19" t="s">
        <v>1106</v>
      </c>
      <c r="J122" s="38" t="s">
        <v>2196</v>
      </c>
      <c r="K122" s="20" t="s">
        <v>1630</v>
      </c>
      <c r="L122" s="118">
        <f>'BID III'!F59</f>
        <v>8540000</v>
      </c>
      <c r="M122" s="35" t="s">
        <v>1104</v>
      </c>
      <c r="N122" s="35" t="s">
        <v>1105</v>
      </c>
    </row>
    <row r="123" spans="1:15" ht="63" x14ac:dyDescent="0.25">
      <c r="A123" s="1"/>
      <c r="B123" s="4"/>
      <c r="C123" s="34">
        <v>3</v>
      </c>
      <c r="D123" s="4" t="str">
        <f>'BID III'!B73</f>
        <v>:Koordinasi Pembinaan Ketentraman, Ketertiban, dan Perlindungan Masyarakat (Penjagaan Linmas Desa)</v>
      </c>
      <c r="E123" s="171" t="s">
        <v>1640</v>
      </c>
      <c r="F123" s="28" t="s">
        <v>1655</v>
      </c>
      <c r="G123" s="169">
        <v>1</v>
      </c>
      <c r="H123" s="18" t="s">
        <v>1102</v>
      </c>
      <c r="I123" s="19" t="s">
        <v>1138</v>
      </c>
      <c r="J123" s="20" t="s">
        <v>1656</v>
      </c>
      <c r="K123" s="20" t="s">
        <v>1630</v>
      </c>
      <c r="L123" s="118">
        <f>'BID III'!F103</f>
        <v>321550000</v>
      </c>
      <c r="M123" s="35" t="s">
        <v>1104</v>
      </c>
      <c r="N123" s="35" t="s">
        <v>1105</v>
      </c>
    </row>
    <row r="124" spans="1:15" ht="70.5" customHeight="1" x14ac:dyDescent="0.25">
      <c r="A124" s="1"/>
      <c r="B124" s="4"/>
      <c r="C124" s="34">
        <v>4</v>
      </c>
      <c r="D124" s="4" t="str">
        <f>'BID III'!B116</f>
        <v>: Pelatihan Kesiapsiagaan/Tanggap Bencana Skala Lokal Desa ( Pelatihan Tanggap Darurat Bencana )</v>
      </c>
      <c r="E124" s="171" t="s">
        <v>1640</v>
      </c>
      <c r="F124" s="28" t="s">
        <v>1655</v>
      </c>
      <c r="G124" s="169">
        <v>1</v>
      </c>
      <c r="H124" s="18" t="s">
        <v>1102</v>
      </c>
      <c r="I124" s="19" t="s">
        <v>1138</v>
      </c>
      <c r="J124" s="20" t="s">
        <v>1656</v>
      </c>
      <c r="K124" s="20" t="s">
        <v>1630</v>
      </c>
      <c r="L124" s="118">
        <f>'BID III'!F141</f>
        <v>28630000</v>
      </c>
      <c r="M124" s="35" t="s">
        <v>1104</v>
      </c>
      <c r="N124" s="35" t="s">
        <v>1105</v>
      </c>
    </row>
    <row r="125" spans="1:15" ht="70.5" customHeight="1" x14ac:dyDescent="0.25">
      <c r="A125" s="1"/>
      <c r="B125" s="4"/>
      <c r="C125" s="34">
        <v>5</v>
      </c>
      <c r="D125" s="4" t="str">
        <f>'BID III'!B154</f>
        <v>: Sosialisasi kepada Masyarakat di Bidang Hukum dan Pelindungan Masyarakat(Pembinaan Pengembangan Aplikasi Jaringan Dokumentasi Dan Informasi Hukum Desa)</v>
      </c>
      <c r="E125" s="171" t="s">
        <v>1640</v>
      </c>
      <c r="F125" s="28" t="s">
        <v>2549</v>
      </c>
      <c r="G125" s="169">
        <v>1</v>
      </c>
      <c r="H125" s="18" t="s">
        <v>1102</v>
      </c>
      <c r="I125" s="19" t="s">
        <v>1144</v>
      </c>
      <c r="J125" s="38" t="s">
        <v>2196</v>
      </c>
      <c r="K125" s="20" t="s">
        <v>1630</v>
      </c>
      <c r="L125" s="118">
        <f>'BID III'!F176</f>
        <v>26280000</v>
      </c>
      <c r="M125" s="35" t="s">
        <v>1104</v>
      </c>
      <c r="N125" s="35" t="s">
        <v>1105</v>
      </c>
    </row>
    <row r="126" spans="1:15" ht="70.5" customHeight="1" x14ac:dyDescent="0.25">
      <c r="A126" s="1"/>
      <c r="B126" s="4"/>
      <c r="C126" s="34">
        <v>6</v>
      </c>
      <c r="D126" s="4" t="str">
        <f>'BID III'!B189</f>
        <v>:Sosialisasi kepada Masyarakat di Bidang Hukum dan Pelindungan Masyarakat (Pembinaan Keluarga Sadar Hukum)</v>
      </c>
      <c r="E126" s="171" t="s">
        <v>1640</v>
      </c>
      <c r="F126" s="28" t="s">
        <v>2549</v>
      </c>
      <c r="G126" s="169">
        <v>1</v>
      </c>
      <c r="H126" s="18" t="s">
        <v>1102</v>
      </c>
      <c r="I126" s="19" t="s">
        <v>1144</v>
      </c>
      <c r="J126" s="38" t="s">
        <v>2196</v>
      </c>
      <c r="K126" s="20" t="s">
        <v>1630</v>
      </c>
      <c r="L126" s="118">
        <f>'BID III'!F209</f>
        <v>1220000</v>
      </c>
      <c r="M126" s="35" t="s">
        <v>1104</v>
      </c>
      <c r="N126" s="35" t="s">
        <v>1105</v>
      </c>
    </row>
    <row r="127" spans="1:15" ht="70.5" customHeight="1" x14ac:dyDescent="0.25">
      <c r="A127" s="1"/>
      <c r="B127" s="4"/>
      <c r="C127" s="34">
        <v>7</v>
      </c>
      <c r="D127" s="4" t="str">
        <f>'BID III'!B222</f>
        <v>: Pembinaan dan Kirab Obor Dalam Rangka Hari Kemerdekaan ( 17 Agustus 2025 )</v>
      </c>
      <c r="E127" s="171" t="s">
        <v>1640</v>
      </c>
      <c r="F127" s="28" t="s">
        <v>2550</v>
      </c>
      <c r="G127" s="169">
        <v>1</v>
      </c>
      <c r="H127" s="18" t="s">
        <v>1102</v>
      </c>
      <c r="I127" s="19" t="s">
        <v>1144</v>
      </c>
      <c r="J127" s="38" t="s">
        <v>2196</v>
      </c>
      <c r="K127" s="20" t="s">
        <v>1630</v>
      </c>
      <c r="L127" s="118">
        <f>'BID III'!F263</f>
        <v>41555000</v>
      </c>
      <c r="M127" s="35" t="s">
        <v>1104</v>
      </c>
      <c r="N127" s="35" t="s">
        <v>1105</v>
      </c>
    </row>
    <row r="128" spans="1:15" ht="144" customHeight="1" x14ac:dyDescent="0.25">
      <c r="A128" s="1"/>
      <c r="B128" s="4"/>
      <c r="C128" s="34">
        <v>8</v>
      </c>
      <c r="D128" s="4" t="str">
        <f>'BID III'!B276</f>
        <v xml:space="preserve">  : Penyelenggaraan Festival Kesenian, Adat / Kebudayaan, dan Keagamaan (Pembinaan dan Lomba Nyurat Aksara Bali Anak SD, Ngwacen Lontar Anak Remaja SMA/SMK, Nyatua Bali Krama Istri Dalam Rangka Penyelenggaraan Bulan Bahasa Bali )</v>
      </c>
      <c r="E128" s="171" t="s">
        <v>1640</v>
      </c>
      <c r="F128" s="1125" t="s">
        <v>2209</v>
      </c>
      <c r="G128" s="1125">
        <v>1</v>
      </c>
      <c r="H128" s="38" t="s">
        <v>1102</v>
      </c>
      <c r="I128" s="20" t="s">
        <v>1147</v>
      </c>
      <c r="J128" s="38" t="s">
        <v>2196</v>
      </c>
      <c r="K128" s="20" t="s">
        <v>1630</v>
      </c>
      <c r="L128" s="118">
        <f>'BID III'!F342</f>
        <v>34115000</v>
      </c>
      <c r="M128" s="35" t="s">
        <v>1104</v>
      </c>
      <c r="N128" s="35" t="s">
        <v>1105</v>
      </c>
    </row>
    <row r="129" spans="1:14" ht="63.75" customHeight="1" x14ac:dyDescent="0.25">
      <c r="A129" s="1"/>
      <c r="B129" s="4"/>
      <c r="C129" s="34">
        <v>9</v>
      </c>
      <c r="D129" s="4" t="str">
        <f>'BID III'!B356</f>
        <v xml:space="preserve"> : Pembinaan Adat dan Keagamaan (Piodalan Padmasana)</v>
      </c>
      <c r="E129" s="171" t="s">
        <v>1640</v>
      </c>
      <c r="F129" s="28" t="s">
        <v>1206</v>
      </c>
      <c r="G129" s="169">
        <v>1</v>
      </c>
      <c r="H129" s="18" t="s">
        <v>1102</v>
      </c>
      <c r="I129" s="19" t="s">
        <v>1106</v>
      </c>
      <c r="J129" s="20" t="s">
        <v>1657</v>
      </c>
      <c r="K129" s="20" t="s">
        <v>1630</v>
      </c>
      <c r="L129" s="118">
        <f>'BID III'!F382</f>
        <v>17633569</v>
      </c>
      <c r="M129" s="35" t="s">
        <v>1104</v>
      </c>
      <c r="N129" s="35" t="s">
        <v>1105</v>
      </c>
    </row>
    <row r="130" spans="1:14" ht="63.75" customHeight="1" x14ac:dyDescent="0.25">
      <c r="A130" s="1"/>
      <c r="B130" s="4"/>
      <c r="C130" s="34">
        <v>10</v>
      </c>
      <c r="D130" s="4" t="str">
        <f>'BID III'!B395</f>
        <v>: Pembinaan Adat dan Keagamaan (Upakara dan Upacara)</v>
      </c>
      <c r="E130" s="171" t="s">
        <v>1640</v>
      </c>
      <c r="F130" s="28" t="s">
        <v>1206</v>
      </c>
      <c r="G130" s="169">
        <v>1</v>
      </c>
      <c r="H130" s="18" t="s">
        <v>1102</v>
      </c>
      <c r="I130" s="19" t="s">
        <v>1106</v>
      </c>
      <c r="J130" s="20" t="s">
        <v>1657</v>
      </c>
      <c r="K130" s="20" t="s">
        <v>1630</v>
      </c>
      <c r="L130" s="118">
        <f>'BID III'!F414</f>
        <v>6700000</v>
      </c>
      <c r="M130" s="35" t="s">
        <v>1104</v>
      </c>
      <c r="N130" s="35" t="s">
        <v>1105</v>
      </c>
    </row>
    <row r="131" spans="1:14" ht="43.5" customHeight="1" x14ac:dyDescent="0.25">
      <c r="A131" s="1"/>
      <c r="B131" s="4"/>
      <c r="C131" s="34">
        <v>11</v>
      </c>
      <c r="D131" s="4" t="str">
        <f>'BID III'!B427</f>
        <v>: Pembinaan Adat dan Keagamaan (Tumpek Landep)</v>
      </c>
      <c r="E131" s="171" t="s">
        <v>1640</v>
      </c>
      <c r="F131" s="28" t="s">
        <v>1206</v>
      </c>
      <c r="G131" s="169">
        <v>1</v>
      </c>
      <c r="H131" s="18" t="s">
        <v>1102</v>
      </c>
      <c r="I131" s="19" t="s">
        <v>1106</v>
      </c>
      <c r="J131" s="38" t="s">
        <v>2196</v>
      </c>
      <c r="K131" s="20" t="s">
        <v>1630</v>
      </c>
      <c r="L131" s="118">
        <f>'BID III'!F444</f>
        <v>27100000</v>
      </c>
      <c r="M131" s="35" t="s">
        <v>1104</v>
      </c>
      <c r="N131" s="35" t="s">
        <v>1105</v>
      </c>
    </row>
    <row r="132" spans="1:14" ht="31.5" customHeight="1" x14ac:dyDescent="0.25">
      <c r="A132" s="1"/>
      <c r="B132" s="4"/>
      <c r="C132" s="34">
        <v>12</v>
      </c>
      <c r="D132" s="4" t="str">
        <f>'BID III'!B457</f>
        <v xml:space="preserve"> : Penunjang Oprasional Subak/Subak Abian (BKKProvinsi)</v>
      </c>
      <c r="E132" s="171" t="s">
        <v>1640</v>
      </c>
      <c r="F132" s="28" t="s">
        <v>1206</v>
      </c>
      <c r="G132" s="169">
        <v>1</v>
      </c>
      <c r="H132" s="18" t="s">
        <v>1102</v>
      </c>
      <c r="I132" s="19" t="s">
        <v>1106</v>
      </c>
      <c r="J132" s="38" t="s">
        <v>2196</v>
      </c>
      <c r="K132" s="20" t="s">
        <v>1630</v>
      </c>
      <c r="L132" s="118">
        <f>'BID III'!F467</f>
        <v>45000000</v>
      </c>
      <c r="M132" s="35" t="s">
        <v>1104</v>
      </c>
      <c r="N132" s="35" t="s">
        <v>1105</v>
      </c>
    </row>
    <row r="133" spans="1:14" ht="47.25" x14ac:dyDescent="0.25">
      <c r="A133" s="1"/>
      <c r="B133" s="4"/>
      <c r="C133" s="34">
        <v>13</v>
      </c>
      <c r="D133" s="4" t="str">
        <f>'BID III'!B480</f>
        <v xml:space="preserve"> : Penunjang Oprasional Desa Pakraman(BKK Kota)</v>
      </c>
      <c r="E133" s="171" t="s">
        <v>1640</v>
      </c>
      <c r="F133" s="28" t="s">
        <v>1206</v>
      </c>
      <c r="G133" s="169">
        <v>1</v>
      </c>
      <c r="H133" s="18" t="s">
        <v>1102</v>
      </c>
      <c r="I133" s="19" t="s">
        <v>1106</v>
      </c>
      <c r="J133" s="20" t="s">
        <v>1658</v>
      </c>
      <c r="K133" s="20" t="s">
        <v>1630</v>
      </c>
      <c r="L133" s="118">
        <f>'BID III'!F490</f>
        <v>2030000000</v>
      </c>
      <c r="M133" s="35" t="s">
        <v>1104</v>
      </c>
      <c r="N133" s="35" t="s">
        <v>1105</v>
      </c>
    </row>
    <row r="134" spans="1:14" ht="41.25" customHeight="1" x14ac:dyDescent="0.25">
      <c r="A134" s="1"/>
      <c r="B134" s="4"/>
      <c r="C134" s="34">
        <v>14</v>
      </c>
      <c r="D134" s="4" t="str">
        <f>'BID III'!B503</f>
        <v>: Kegiatan Bakti Penganyaran</v>
      </c>
      <c r="E134" s="171" t="s">
        <v>1640</v>
      </c>
      <c r="F134" s="28" t="s">
        <v>1215</v>
      </c>
      <c r="G134" s="169">
        <v>1</v>
      </c>
      <c r="H134" s="18" t="s">
        <v>1102</v>
      </c>
      <c r="I134" s="19" t="s">
        <v>1106</v>
      </c>
      <c r="J134" s="38" t="s">
        <v>2196</v>
      </c>
      <c r="K134" s="20" t="s">
        <v>1630</v>
      </c>
      <c r="L134" s="118">
        <f>'BID III'!F536</f>
        <v>225000000</v>
      </c>
      <c r="M134" s="35" t="s">
        <v>1104</v>
      </c>
      <c r="N134" s="35" t="s">
        <v>1105</v>
      </c>
    </row>
    <row r="135" spans="1:14" ht="134.25" customHeight="1" x14ac:dyDescent="0.25">
      <c r="A135" s="1"/>
      <c r="B135" s="4"/>
      <c r="C135" s="34">
        <v>15</v>
      </c>
      <c r="D135" s="4" t="str">
        <f>'BID III'!B550</f>
        <v xml:space="preserve">: Penyelenggaraan Pelatihan Kepemudaan  ( Pelatihan dan Lomba Menggambar Karakter Bung Karno Tingkat SMP, Menyanyikan Lagu Wajib Kebangsaan Tingkat SD, Membaca Undang-undang Dasar 45 Tingkat SD Dalam Rangka Bulan Bung Karno Tahun 2025 ) </v>
      </c>
      <c r="E135" s="171">
        <v>3</v>
      </c>
      <c r="F135" s="28" t="s">
        <v>1215</v>
      </c>
      <c r="G135" s="169">
        <v>1</v>
      </c>
      <c r="H135" s="18" t="s">
        <v>1102</v>
      </c>
      <c r="I135" s="19" t="s">
        <v>1106</v>
      </c>
      <c r="J135" s="38" t="s">
        <v>2196</v>
      </c>
      <c r="K135" s="20" t="s">
        <v>1630</v>
      </c>
      <c r="L135" s="118">
        <f>'BID III'!F619</f>
        <v>35874000</v>
      </c>
      <c r="M135" s="35" t="s">
        <v>1104</v>
      </c>
      <c r="N135" s="35" t="s">
        <v>1105</v>
      </c>
    </row>
    <row r="136" spans="1:14" ht="87" customHeight="1" x14ac:dyDescent="0.25">
      <c r="A136" s="1"/>
      <c r="B136" s="4"/>
      <c r="C136" s="34">
        <v>16</v>
      </c>
      <c r="D136" s="4" t="str">
        <f>'BID III'!B632</f>
        <v>: Lomba Yel-Yel Bung Karno Tingkat Guru Paud, Lomba Kuis Siapa Bisa Tingkat PKK dan Lomba Cerdas Cermat Tingkat SMP di Tingkat Kecamatan</v>
      </c>
      <c r="E136" s="171" t="s">
        <v>1640</v>
      </c>
      <c r="F136" s="28" t="s">
        <v>1659</v>
      </c>
      <c r="G136" s="169">
        <v>1</v>
      </c>
      <c r="H136" s="18" t="s">
        <v>1102</v>
      </c>
      <c r="I136" s="19" t="s">
        <v>1106</v>
      </c>
      <c r="J136" s="38" t="s">
        <v>2196</v>
      </c>
      <c r="K136" s="20" t="s">
        <v>1630</v>
      </c>
      <c r="L136" s="118">
        <f>'BID III'!F687</f>
        <v>59400000</v>
      </c>
      <c r="M136" s="35" t="s">
        <v>1104</v>
      </c>
      <c r="N136" s="35" t="s">
        <v>1105</v>
      </c>
    </row>
    <row r="137" spans="1:14" ht="47.25" x14ac:dyDescent="0.25">
      <c r="A137" s="1"/>
      <c r="B137" s="4"/>
      <c r="C137" s="34">
        <v>17</v>
      </c>
      <c r="D137" s="4" t="str">
        <f>'BID III'!B702</f>
        <v>: Pembinaan Karang Taruna</v>
      </c>
      <c r="E137" s="171" t="s">
        <v>1640</v>
      </c>
      <c r="F137" s="28" t="s">
        <v>1209</v>
      </c>
      <c r="G137" s="169">
        <v>1</v>
      </c>
      <c r="H137" s="18" t="s">
        <v>1102</v>
      </c>
      <c r="I137" s="19" t="s">
        <v>1106</v>
      </c>
      <c r="J137" s="20" t="s">
        <v>1660</v>
      </c>
      <c r="K137" s="20" t="s">
        <v>1630</v>
      </c>
      <c r="L137" s="118">
        <f>'BID III'!F723</f>
        <v>40175000</v>
      </c>
      <c r="M137" s="35" t="s">
        <v>1104</v>
      </c>
      <c r="N137" s="35" t="s">
        <v>1105</v>
      </c>
    </row>
    <row r="138" spans="1:14" ht="47.25" x14ac:dyDescent="0.25">
      <c r="A138" s="1"/>
      <c r="B138" s="4"/>
      <c r="C138" s="34">
        <v>18</v>
      </c>
      <c r="D138" s="4" t="str">
        <f>'BID III'!B735</f>
        <v>: Penunjang Kegiatan Ekonomi Produktif untuk Sekeha Teruna (BKK Kota)</v>
      </c>
      <c r="E138" s="171" t="s">
        <v>1640</v>
      </c>
      <c r="F138" s="28" t="s">
        <v>1205</v>
      </c>
      <c r="G138" s="169">
        <v>1</v>
      </c>
      <c r="H138" s="18" t="s">
        <v>1102</v>
      </c>
      <c r="I138" s="19" t="s">
        <v>1106</v>
      </c>
      <c r="J138" s="20" t="s">
        <v>1629</v>
      </c>
      <c r="K138" s="20" t="s">
        <v>1630</v>
      </c>
      <c r="L138" s="1126">
        <f>'BID III'!F744</f>
        <v>420000000</v>
      </c>
      <c r="M138" s="35" t="s">
        <v>1104</v>
      </c>
      <c r="N138" s="35" t="s">
        <v>1105</v>
      </c>
    </row>
    <row r="139" spans="1:14" ht="42.75" customHeight="1" x14ac:dyDescent="0.25">
      <c r="A139" s="33"/>
      <c r="B139" s="1127"/>
      <c r="C139" s="34">
        <v>19</v>
      </c>
      <c r="D139" s="1127" t="str">
        <f>'BID III'!B757</f>
        <v>: Pelatihan Pembinaan Lembaga Kemasyarakatan (Bulan bakti Gotong royong LPM)</v>
      </c>
      <c r="E139" s="1128">
        <v>5</v>
      </c>
      <c r="F139" s="28" t="s">
        <v>1211</v>
      </c>
      <c r="G139" s="169">
        <v>1</v>
      </c>
      <c r="H139" s="18" t="s">
        <v>1102</v>
      </c>
      <c r="I139" s="19" t="s">
        <v>1106</v>
      </c>
      <c r="J139" s="38" t="s">
        <v>2196</v>
      </c>
      <c r="K139" s="20" t="s">
        <v>1630</v>
      </c>
      <c r="L139" s="1129">
        <f>'BID III'!F780</f>
        <v>31375000</v>
      </c>
      <c r="M139" s="35" t="s">
        <v>1104</v>
      </c>
      <c r="N139" s="35" t="s">
        <v>1105</v>
      </c>
    </row>
    <row r="140" spans="1:14" ht="76.5" customHeight="1" x14ac:dyDescent="0.25">
      <c r="A140" s="33"/>
      <c r="B140" s="1127"/>
      <c r="C140" s="34">
        <v>20</v>
      </c>
      <c r="D140" s="1127" t="str">
        <f>'BID III'!B793</f>
        <v>: Pembinaan LKMD / LPM / LPMD (Pelatihan LPM)</v>
      </c>
      <c r="E140" s="1128">
        <v>5</v>
      </c>
      <c r="F140" s="27" t="s">
        <v>2551</v>
      </c>
      <c r="G140" s="169">
        <v>1</v>
      </c>
      <c r="H140" s="18" t="s">
        <v>1102</v>
      </c>
      <c r="I140" s="19" t="s">
        <v>1106</v>
      </c>
      <c r="J140" s="38" t="s">
        <v>2196</v>
      </c>
      <c r="K140" s="20" t="s">
        <v>1630</v>
      </c>
      <c r="L140" s="1129">
        <f>'BID III'!F816</f>
        <v>14805000</v>
      </c>
      <c r="M140" s="35" t="s">
        <v>1104</v>
      </c>
      <c r="N140" s="35" t="s">
        <v>1105</v>
      </c>
    </row>
    <row r="141" spans="1:14" ht="66" customHeight="1" x14ac:dyDescent="0.25">
      <c r="A141" s="33"/>
      <c r="B141" s="1127"/>
      <c r="C141" s="34">
        <v>21</v>
      </c>
      <c r="D141" s="1127" t="str">
        <f>'BID III'!B829</f>
        <v>: Pembinaan PKK  ( Pembinaan Administrasi dan Pokja PKK Desa  )</v>
      </c>
      <c r="E141" s="1128">
        <v>5</v>
      </c>
      <c r="F141" s="27" t="s">
        <v>2551</v>
      </c>
      <c r="G141" s="169">
        <v>1</v>
      </c>
      <c r="H141" s="18" t="s">
        <v>1102</v>
      </c>
      <c r="I141" s="19" t="s">
        <v>1106</v>
      </c>
      <c r="J141" s="38" t="s">
        <v>2196</v>
      </c>
      <c r="K141" s="20" t="s">
        <v>1630</v>
      </c>
      <c r="L141" s="1129">
        <f>'BID III'!F857</f>
        <v>57857600</v>
      </c>
      <c r="M141" s="35" t="s">
        <v>1104</v>
      </c>
      <c r="N141" s="35" t="s">
        <v>1105</v>
      </c>
    </row>
    <row r="142" spans="1:14" ht="42.75" customHeight="1" x14ac:dyDescent="0.25">
      <c r="A142" s="33"/>
      <c r="B142" s="1127"/>
      <c r="C142" s="34">
        <v>22</v>
      </c>
      <c r="D142" s="1127" t="str">
        <f>'BID III'!B872</f>
        <v>:Pelatihan Pembinaan Lembaga Kemasyarakatan (Input data  Dasawisma)</v>
      </c>
      <c r="E142" s="1128">
        <v>5</v>
      </c>
      <c r="F142" s="27" t="s">
        <v>2551</v>
      </c>
      <c r="G142" s="169">
        <v>1</v>
      </c>
      <c r="H142" s="18" t="s">
        <v>1102</v>
      </c>
      <c r="I142" s="19" t="s">
        <v>1106</v>
      </c>
      <c r="J142" s="38" t="s">
        <v>2196</v>
      </c>
      <c r="K142" s="20" t="s">
        <v>1630</v>
      </c>
      <c r="L142" s="1129">
        <f>'BID III'!F897</f>
        <v>6488000</v>
      </c>
      <c r="M142" s="35" t="s">
        <v>1104</v>
      </c>
      <c r="N142" s="35" t="s">
        <v>1105</v>
      </c>
    </row>
    <row r="143" spans="1:14" ht="64.5" customHeight="1" x14ac:dyDescent="0.25">
      <c r="A143" s="33"/>
      <c r="B143" s="1127"/>
      <c r="C143" s="34">
        <v>23</v>
      </c>
      <c r="D143" s="1127" t="str">
        <f>'BID III'!B1022</f>
        <v>Pemeliharaan Jalan Lingkungan Permukiman Pura Dalem Laplap ( Pembersihan Site)</v>
      </c>
      <c r="E143" s="1128">
        <v>9</v>
      </c>
      <c r="F143" s="27" t="s">
        <v>2552</v>
      </c>
      <c r="G143" s="169">
        <v>1</v>
      </c>
      <c r="H143" s="18" t="s">
        <v>1102</v>
      </c>
      <c r="I143" s="22" t="s">
        <v>2324</v>
      </c>
      <c r="J143" s="38" t="s">
        <v>2196</v>
      </c>
      <c r="K143" s="20" t="s">
        <v>1630</v>
      </c>
      <c r="L143" s="1129">
        <f>'BID III'!F1038</f>
        <v>0</v>
      </c>
      <c r="M143" s="35" t="s">
        <v>1104</v>
      </c>
      <c r="N143" s="35" t="s">
        <v>1105</v>
      </c>
    </row>
    <row r="144" spans="1:14" ht="64.5" customHeight="1" x14ac:dyDescent="0.25">
      <c r="A144" s="33"/>
      <c r="B144" s="1127"/>
      <c r="C144" s="34">
        <v>24</v>
      </c>
      <c r="D144" s="1127" t="str">
        <f>'BID III'!B1050</f>
        <v>Pemeliharaan Jalan Lingkungan Permukiman Pura Dalem Laplap ( pembongkaran tembok lama)</v>
      </c>
      <c r="E144" s="1128">
        <v>9</v>
      </c>
      <c r="F144" s="27" t="s">
        <v>2552</v>
      </c>
      <c r="G144" s="169">
        <v>1</v>
      </c>
      <c r="H144" s="18" t="s">
        <v>1102</v>
      </c>
      <c r="I144" s="22" t="s">
        <v>2326</v>
      </c>
      <c r="J144" s="38" t="s">
        <v>2196</v>
      </c>
      <c r="K144" s="20" t="s">
        <v>1630</v>
      </c>
      <c r="L144" s="1129">
        <f>'BID III'!F1066</f>
        <v>0</v>
      </c>
      <c r="M144" s="35" t="s">
        <v>1104</v>
      </c>
      <c r="N144" s="35" t="s">
        <v>1105</v>
      </c>
    </row>
    <row r="145" spans="1:14" ht="64.5" customHeight="1" x14ac:dyDescent="0.25">
      <c r="A145" s="33"/>
      <c r="B145" s="1127"/>
      <c r="C145" s="34">
        <v>25</v>
      </c>
      <c r="D145" s="1127" t="str">
        <f>'BID III'!B1087</f>
        <v>Pemeliharaan Jalan Lingkungan Permukiman Pura Dalem Laplap ( GALIAN PONDASI)</v>
      </c>
      <c r="E145" s="1128">
        <v>9</v>
      </c>
      <c r="F145" s="27" t="s">
        <v>2552</v>
      </c>
      <c r="G145" s="169">
        <v>1</v>
      </c>
      <c r="H145" s="18" t="s">
        <v>1102</v>
      </c>
      <c r="I145" s="22" t="s">
        <v>2530</v>
      </c>
      <c r="J145" s="38" t="s">
        <v>2196</v>
      </c>
      <c r="K145" s="20" t="s">
        <v>1630</v>
      </c>
      <c r="L145" s="1129">
        <f>'BID III'!F1103</f>
        <v>0</v>
      </c>
      <c r="M145" s="35" t="s">
        <v>1104</v>
      </c>
      <c r="N145" s="35" t="s">
        <v>1105</v>
      </c>
    </row>
    <row r="146" spans="1:14" ht="64.5" customHeight="1" x14ac:dyDescent="0.25">
      <c r="A146" s="33"/>
      <c r="B146" s="1127"/>
      <c r="C146" s="34">
        <v>26</v>
      </c>
      <c r="D146" s="1127" t="str">
        <f>'BID III'!B1121</f>
        <v>Pemeliharaan Jalan Lingkungan Permukiman Pura Dalem Laplap ( PONDASI)</v>
      </c>
      <c r="E146" s="1128">
        <v>9</v>
      </c>
      <c r="F146" s="27" t="s">
        <v>2552</v>
      </c>
      <c r="G146" s="169">
        <v>1</v>
      </c>
      <c r="H146" s="18" t="s">
        <v>1102</v>
      </c>
      <c r="I146" s="22" t="s">
        <v>2531</v>
      </c>
      <c r="J146" s="38" t="s">
        <v>2196</v>
      </c>
      <c r="K146" s="20" t="s">
        <v>1630</v>
      </c>
      <c r="L146" s="1129">
        <f>'BID III'!F1142</f>
        <v>0</v>
      </c>
      <c r="M146" s="35" t="s">
        <v>1104</v>
      </c>
      <c r="N146" s="35" t="s">
        <v>1105</v>
      </c>
    </row>
    <row r="147" spans="1:14" ht="64.5" customHeight="1" x14ac:dyDescent="0.25">
      <c r="A147" s="33"/>
      <c r="B147" s="1127"/>
      <c r="C147" s="34">
        <v>27</v>
      </c>
      <c r="D147" s="1127" t="str">
        <f>'BID III'!B1153</f>
        <v>Pemeliharaan Jalan Lingkungan Permukiman Pura Dalem Laplap ( Urugan Tanah Kembali)</v>
      </c>
      <c r="E147" s="1128">
        <v>9</v>
      </c>
      <c r="F147" s="27" t="s">
        <v>2552</v>
      </c>
      <c r="G147" s="169">
        <v>1</v>
      </c>
      <c r="H147" s="18" t="s">
        <v>1102</v>
      </c>
      <c r="I147" s="22" t="s">
        <v>2532</v>
      </c>
      <c r="J147" s="38" t="s">
        <v>2196</v>
      </c>
      <c r="K147" s="20" t="s">
        <v>1630</v>
      </c>
      <c r="L147" s="1129">
        <f>'BID III'!F1167</f>
        <v>0</v>
      </c>
      <c r="M147" s="35" t="s">
        <v>1104</v>
      </c>
      <c r="N147" s="35" t="s">
        <v>1105</v>
      </c>
    </row>
    <row r="148" spans="1:14" ht="64.5" customHeight="1" x14ac:dyDescent="0.25">
      <c r="A148" s="33"/>
      <c r="B148" s="1127"/>
      <c r="C148" s="34">
        <v>28</v>
      </c>
      <c r="D148" s="1127" t="str">
        <f>'BID III'!B1178</f>
        <v>Pemeliharaan Jalan Lingkungan Permukiman Pura Dalem Laplap ( SLOOF beton bertulang)</v>
      </c>
      <c r="E148" s="1128">
        <v>9</v>
      </c>
      <c r="F148" s="27" t="s">
        <v>2552</v>
      </c>
      <c r="G148" s="169">
        <v>1</v>
      </c>
      <c r="H148" s="18" t="s">
        <v>1102</v>
      </c>
      <c r="I148" s="22" t="s">
        <v>2533</v>
      </c>
      <c r="J148" s="38" t="s">
        <v>2196</v>
      </c>
      <c r="K148" s="20" t="s">
        <v>1630</v>
      </c>
      <c r="L148" s="1129">
        <f>'BID III'!F1200</f>
        <v>0</v>
      </c>
      <c r="M148" s="35" t="s">
        <v>1104</v>
      </c>
      <c r="N148" s="35" t="s">
        <v>1105</v>
      </c>
    </row>
    <row r="149" spans="1:14" ht="64.5" customHeight="1" x14ac:dyDescent="0.25">
      <c r="A149" s="33"/>
      <c r="B149" s="1127"/>
      <c r="C149" s="34">
        <v>29</v>
      </c>
      <c r="D149" s="1127" t="str">
        <f>'BID III'!B1220</f>
        <v>Pemeliharaan Jalan Lingkungan Permukiman Pura Dalem Laplap ( PASANG BATAKO)</v>
      </c>
      <c r="E149" s="1128">
        <v>9</v>
      </c>
      <c r="F149" s="27" t="s">
        <v>2552</v>
      </c>
      <c r="G149" s="169">
        <v>1</v>
      </c>
      <c r="H149" s="18" t="s">
        <v>1102</v>
      </c>
      <c r="I149" s="22" t="s">
        <v>2534</v>
      </c>
      <c r="J149" s="38" t="s">
        <v>2196</v>
      </c>
      <c r="K149" s="20" t="s">
        <v>1630</v>
      </c>
      <c r="L149" s="1129">
        <f>'BID III'!F1242</f>
        <v>0</v>
      </c>
      <c r="M149" s="35" t="s">
        <v>1104</v>
      </c>
      <c r="N149" s="35" t="s">
        <v>1105</v>
      </c>
    </row>
    <row r="150" spans="1:14" ht="64.5" customHeight="1" x14ac:dyDescent="0.25">
      <c r="A150" s="33"/>
      <c r="B150" s="1127"/>
      <c r="C150" s="34">
        <v>30</v>
      </c>
      <c r="D150" s="1127" t="str">
        <f>'BID III'!B1252</f>
        <v>Pemeliharaan Jalan Lingkungan Permukiman Pura Dalem Laplap ( RING BALOK)</v>
      </c>
      <c r="E150" s="1128">
        <v>9</v>
      </c>
      <c r="F150" s="27" t="s">
        <v>2552</v>
      </c>
      <c r="G150" s="169">
        <v>1</v>
      </c>
      <c r="H150" s="18" t="s">
        <v>1102</v>
      </c>
      <c r="I150" s="22" t="s">
        <v>2535</v>
      </c>
      <c r="J150" s="38" t="s">
        <v>2196</v>
      </c>
      <c r="K150" s="20" t="s">
        <v>1630</v>
      </c>
      <c r="L150" s="1129">
        <f>'BID III'!F1274</f>
        <v>0</v>
      </c>
      <c r="M150" s="35" t="s">
        <v>1104</v>
      </c>
      <c r="N150" s="35" t="s">
        <v>1105</v>
      </c>
    </row>
    <row r="151" spans="1:14" ht="64.5" customHeight="1" x14ac:dyDescent="0.25">
      <c r="A151" s="33"/>
      <c r="B151" s="1127"/>
      <c r="C151" s="34">
        <v>31</v>
      </c>
      <c r="D151" s="1127" t="str">
        <f>'BID III'!B1288</f>
        <v>Pemeliharaan Jalan Lingkungan Permukiman Pura Dalem Laplap ( PLESTERAN )</v>
      </c>
      <c r="E151" s="1128">
        <v>9</v>
      </c>
      <c r="F151" s="27" t="s">
        <v>2552</v>
      </c>
      <c r="G151" s="169">
        <v>1</v>
      </c>
      <c r="H151" s="18" t="s">
        <v>1102</v>
      </c>
      <c r="I151" s="22" t="s">
        <v>2536</v>
      </c>
      <c r="J151" s="38" t="s">
        <v>2196</v>
      </c>
      <c r="K151" s="20" t="s">
        <v>1630</v>
      </c>
      <c r="L151" s="1129">
        <f>'BID III'!F1305</f>
        <v>0</v>
      </c>
      <c r="M151" s="35" t="s">
        <v>1104</v>
      </c>
      <c r="N151" s="35" t="s">
        <v>1105</v>
      </c>
    </row>
    <row r="152" spans="1:14" ht="64.5" customHeight="1" x14ac:dyDescent="0.25">
      <c r="A152" s="33"/>
      <c r="B152" s="1127"/>
      <c r="C152" s="34">
        <v>32</v>
      </c>
      <c r="D152" s="1127" t="str">
        <f>'BID III'!B1315</f>
        <v>Pemeliharaan Jalan Lingkungan Permukiman Pura Dalem Laplap (BAN - BANAN PLESTERAN )</v>
      </c>
      <c r="E152" s="1128">
        <v>9</v>
      </c>
      <c r="F152" s="27" t="s">
        <v>2552</v>
      </c>
      <c r="G152" s="169">
        <v>1</v>
      </c>
      <c r="H152" s="18" t="s">
        <v>1102</v>
      </c>
      <c r="I152" s="22" t="s">
        <v>2537</v>
      </c>
      <c r="J152" s="38" t="s">
        <v>2196</v>
      </c>
      <c r="K152" s="20" t="s">
        <v>1630</v>
      </c>
      <c r="L152" s="1129">
        <f>'BID III'!F1332</f>
        <v>0</v>
      </c>
      <c r="M152" s="35" t="s">
        <v>1104</v>
      </c>
      <c r="N152" s="35" t="s">
        <v>1105</v>
      </c>
    </row>
    <row r="153" spans="1:14" ht="102" customHeight="1" x14ac:dyDescent="0.25">
      <c r="A153" s="33"/>
      <c r="B153" s="1127"/>
      <c r="C153" s="34">
        <v>33</v>
      </c>
      <c r="D153" s="1127" t="str">
        <f>'BID III'!B1341</f>
        <v>Pemeliharaan Jalan Lingkungan Permukiman Pura Dalem Laplap ( GALIAN PONDASI TEMBOK BARU)</v>
      </c>
      <c r="E153" s="1128">
        <v>9</v>
      </c>
      <c r="F153" s="27" t="s">
        <v>2552</v>
      </c>
      <c r="G153" s="169">
        <v>1</v>
      </c>
      <c r="H153" s="18" t="s">
        <v>1102</v>
      </c>
      <c r="I153" s="22" t="s">
        <v>2538</v>
      </c>
      <c r="J153" s="38" t="s">
        <v>2196</v>
      </c>
      <c r="K153" s="20" t="s">
        <v>1630</v>
      </c>
      <c r="L153" s="1129">
        <f>'BID III'!F1357</f>
        <v>0</v>
      </c>
      <c r="M153" s="35" t="s">
        <v>1104</v>
      </c>
      <c r="N153" s="35" t="s">
        <v>1105</v>
      </c>
    </row>
    <row r="154" spans="1:14" ht="102" customHeight="1" x14ac:dyDescent="0.25">
      <c r="A154" s="33"/>
      <c r="B154" s="1127"/>
      <c r="C154" s="34">
        <v>34</v>
      </c>
      <c r="D154" s="1127" t="str">
        <f>'BID III'!B1366</f>
        <v>Pemeliharaan Jalan Lingkungan Permukiman Pura Dalem Laplap (  PONDASI BETON TEMBOK BARU)</v>
      </c>
      <c r="E154" s="1128">
        <v>9</v>
      </c>
      <c r="F154" s="27" t="s">
        <v>2552</v>
      </c>
      <c r="G154" s="169">
        <v>1</v>
      </c>
      <c r="H154" s="18" t="s">
        <v>1102</v>
      </c>
      <c r="I154" s="22" t="s">
        <v>2539</v>
      </c>
      <c r="J154" s="38" t="s">
        <v>2196</v>
      </c>
      <c r="K154" s="20" t="s">
        <v>1630</v>
      </c>
      <c r="L154" s="1129">
        <f>'BID III'!F1384</f>
        <v>0</v>
      </c>
      <c r="M154" s="35" t="s">
        <v>1104</v>
      </c>
      <c r="N154" s="35" t="s">
        <v>1105</v>
      </c>
    </row>
    <row r="155" spans="1:14" ht="102" customHeight="1" x14ac:dyDescent="0.25">
      <c r="A155" s="33"/>
      <c r="B155" s="1127"/>
      <c r="C155" s="34">
        <v>35</v>
      </c>
      <c r="D155" s="1127" t="str">
        <f>'BID III'!B1394</f>
        <v>Pemeliharaan Jalan Lingkungan Permukiman Pura Dalem Laplap (  PEMBESIAN PONDASI TEMBOK BARU)</v>
      </c>
      <c r="E155" s="1128">
        <v>9</v>
      </c>
      <c r="F155" s="27" t="s">
        <v>2552</v>
      </c>
      <c r="G155" s="169">
        <v>1</v>
      </c>
      <c r="H155" s="18" t="s">
        <v>1102</v>
      </c>
      <c r="I155" s="22" t="s">
        <v>2541</v>
      </c>
      <c r="J155" s="38" t="s">
        <v>2196</v>
      </c>
      <c r="K155" s="20" t="s">
        <v>1630</v>
      </c>
      <c r="L155" s="1129">
        <f>'BID III'!F1410</f>
        <v>0</v>
      </c>
      <c r="M155" s="35" t="s">
        <v>1104</v>
      </c>
      <c r="N155" s="35" t="s">
        <v>1105</v>
      </c>
    </row>
    <row r="156" spans="1:14" ht="102" customHeight="1" x14ac:dyDescent="0.25">
      <c r="A156" s="33"/>
      <c r="B156" s="1127"/>
      <c r="C156" s="34">
        <v>36</v>
      </c>
      <c r="D156" s="1127" t="str">
        <f>'BID III'!B1420</f>
        <v>Pemeliharaan Jalan Lingkungan Permukiman Pura Dalem Laplap (  URUGAN TANAH  TEMBOK BARU)</v>
      </c>
      <c r="E156" s="1128">
        <v>9</v>
      </c>
      <c r="F156" s="27" t="s">
        <v>2552</v>
      </c>
      <c r="G156" s="169">
        <v>1</v>
      </c>
      <c r="H156" s="18" t="s">
        <v>1102</v>
      </c>
      <c r="I156" s="22" t="s">
        <v>2540</v>
      </c>
      <c r="J156" s="38" t="s">
        <v>2196</v>
      </c>
      <c r="K156" s="20" t="s">
        <v>1630</v>
      </c>
      <c r="L156" s="1129">
        <f>'BID III'!F1436</f>
        <v>0</v>
      </c>
      <c r="M156" s="35" t="s">
        <v>1104</v>
      </c>
      <c r="N156" s="35" t="s">
        <v>1105</v>
      </c>
    </row>
    <row r="157" spans="1:14" ht="102" customHeight="1" x14ac:dyDescent="0.25">
      <c r="A157" s="33"/>
      <c r="B157" s="1127"/>
      <c r="C157" s="34">
        <v>37</v>
      </c>
      <c r="D157" s="1127" t="str">
        <f>'BID III'!B1446</f>
        <v>Pemeliharaan Jalan Lingkungan Permukiman Pura Dalem Laplap ( PLESTERAN TEMBOK bARU )</v>
      </c>
      <c r="E157" s="1128">
        <v>9</v>
      </c>
      <c r="F157" s="27" t="s">
        <v>2552</v>
      </c>
      <c r="G157" s="169">
        <v>1</v>
      </c>
      <c r="H157" s="18" t="s">
        <v>1102</v>
      </c>
      <c r="I157" s="22" t="s">
        <v>2542</v>
      </c>
      <c r="J157" s="38" t="s">
        <v>2196</v>
      </c>
      <c r="K157" s="20" t="s">
        <v>1630</v>
      </c>
      <c r="L157" s="1129">
        <f>'BID III'!F1463</f>
        <v>0</v>
      </c>
      <c r="M157" s="35" t="s">
        <v>1104</v>
      </c>
      <c r="N157" s="35" t="s">
        <v>1105</v>
      </c>
    </row>
    <row r="158" spans="1:14" ht="102" customHeight="1" x14ac:dyDescent="0.25">
      <c r="A158" s="33"/>
      <c r="B158" s="1127"/>
      <c r="C158" s="34">
        <v>38</v>
      </c>
      <c r="D158" s="1127" t="str">
        <f>'BID III'!B1475</f>
        <v>Pemeliharaan Jalan Lingkungan Permukiman Pura Dalem Laplap (BAN - BANAN PLESTERAN TEMBOK BARU )</v>
      </c>
      <c r="E158" s="1128">
        <v>9</v>
      </c>
      <c r="F158" s="27" t="s">
        <v>2552</v>
      </c>
      <c r="G158" s="169">
        <v>1</v>
      </c>
      <c r="H158" s="18" t="s">
        <v>1102</v>
      </c>
      <c r="I158" s="22" t="s">
        <v>2543</v>
      </c>
      <c r="J158" s="38" t="s">
        <v>2196</v>
      </c>
      <c r="K158" s="20" t="s">
        <v>1630</v>
      </c>
      <c r="L158" s="1129">
        <f>'BID III'!F1492</f>
        <v>0</v>
      </c>
      <c r="M158" s="35" t="s">
        <v>1104</v>
      </c>
      <c r="N158" s="35" t="s">
        <v>1105</v>
      </c>
    </row>
    <row r="159" spans="1:14" ht="102" customHeight="1" x14ac:dyDescent="0.25">
      <c r="A159" s="33"/>
      <c r="B159" s="1127"/>
      <c r="C159" s="34">
        <v>39</v>
      </c>
      <c r="D159" s="1127" t="str">
        <f>'BID III'!B1502</f>
        <v>Pemeliharaan Jalan Lingkungan Permukiman/Pengorong Desa Adat Bekul (Pemavingan)</v>
      </c>
      <c r="E159" s="1128">
        <v>9</v>
      </c>
      <c r="F159" s="27" t="s">
        <v>2552</v>
      </c>
      <c r="G159" s="169">
        <v>1</v>
      </c>
      <c r="H159" s="18" t="s">
        <v>1102</v>
      </c>
      <c r="I159" s="22" t="s">
        <v>2544</v>
      </c>
      <c r="J159" s="38" t="s">
        <v>2196</v>
      </c>
      <c r="K159" s="20" t="s">
        <v>1630</v>
      </c>
      <c r="L159" s="1129">
        <f>'BID III'!F1522</f>
        <v>0</v>
      </c>
      <c r="M159" s="35" t="s">
        <v>1104</v>
      </c>
      <c r="N159" s="35" t="s">
        <v>1105</v>
      </c>
    </row>
    <row r="160" spans="1:14" ht="102" customHeight="1" x14ac:dyDescent="0.25">
      <c r="A160" s="33"/>
      <c r="B160" s="1127"/>
      <c r="C160" s="34">
        <v>40</v>
      </c>
      <c r="D160" s="1127" t="str">
        <f>'BID III'!B1531</f>
        <v>Pemeliharaan Jalan Lingkungan Permukiman/Pengorong Desa Adat Bekul (Rabat Beton)</v>
      </c>
      <c r="E160" s="1128">
        <v>9</v>
      </c>
      <c r="F160" s="27" t="s">
        <v>2552</v>
      </c>
      <c r="G160" s="169">
        <v>1</v>
      </c>
      <c r="H160" s="18" t="s">
        <v>1102</v>
      </c>
      <c r="I160" s="22" t="s">
        <v>2545</v>
      </c>
      <c r="J160" s="38" t="s">
        <v>2196</v>
      </c>
      <c r="K160" s="20" t="s">
        <v>1630</v>
      </c>
      <c r="L160" s="1129">
        <f>'BID III'!F1549</f>
        <v>0</v>
      </c>
      <c r="M160" s="35" t="s">
        <v>1104</v>
      </c>
      <c r="N160" s="35" t="s">
        <v>1105</v>
      </c>
    </row>
    <row r="161" spans="1:14" ht="102" customHeight="1" x14ac:dyDescent="0.25">
      <c r="A161" s="33"/>
      <c r="B161" s="1127"/>
      <c r="C161" s="34">
        <v>41</v>
      </c>
      <c r="D161" s="1127" t="str">
        <f>'BID III'!B1559</f>
        <v>Pemeliharaan Jalan Lingkungan Permukiman/Pengorong Desa Adat Bekul ( Bongkar paving )</v>
      </c>
      <c r="E161" s="1128">
        <v>9</v>
      </c>
      <c r="F161" s="27" t="s">
        <v>2552</v>
      </c>
      <c r="G161" s="169">
        <v>1</v>
      </c>
      <c r="H161" s="18" t="s">
        <v>1102</v>
      </c>
      <c r="I161" s="22" t="s">
        <v>2546</v>
      </c>
      <c r="J161" s="38" t="s">
        <v>2196</v>
      </c>
      <c r="K161" s="20" t="s">
        <v>1630</v>
      </c>
      <c r="L161" s="1129" t="e">
        <f>'BID III'!#REF!</f>
        <v>#REF!</v>
      </c>
      <c r="M161" s="35" t="s">
        <v>1104</v>
      </c>
      <c r="N161" s="35" t="s">
        <v>1105</v>
      </c>
    </row>
    <row r="162" spans="1:14" x14ac:dyDescent="0.25">
      <c r="A162" s="2081" t="s">
        <v>1480</v>
      </c>
      <c r="B162" s="2082"/>
      <c r="C162" s="2082"/>
      <c r="D162" s="2082"/>
      <c r="E162" s="2082"/>
      <c r="F162" s="2082"/>
      <c r="G162" s="2082"/>
      <c r="H162" s="2082"/>
      <c r="I162" s="2082"/>
      <c r="J162" s="2082"/>
      <c r="K162" s="2083"/>
      <c r="L162" s="1130">
        <f>SUM(L121:L142)</f>
        <v>3486208169</v>
      </c>
      <c r="M162" s="35"/>
      <c r="N162" s="35"/>
    </row>
    <row r="163" spans="1:14" x14ac:dyDescent="0.25">
      <c r="A163" s="1"/>
      <c r="B163" s="4"/>
      <c r="C163" s="1"/>
      <c r="D163" s="4"/>
      <c r="E163" s="1"/>
      <c r="F163" s="1"/>
      <c r="G163" s="1"/>
      <c r="H163" s="1"/>
      <c r="I163" s="1"/>
      <c r="J163" s="1"/>
      <c r="K163" s="1"/>
      <c r="L163" s="118"/>
      <c r="M163" s="35"/>
      <c r="N163" s="1"/>
    </row>
    <row r="164" spans="1:14" ht="57" customHeight="1" x14ac:dyDescent="0.25">
      <c r="A164" s="1"/>
      <c r="B164" s="4" t="str">
        <f>'BID IV'!B5</f>
        <v>: Pemberdayaan Masyarakat Desa</v>
      </c>
      <c r="C164" s="34">
        <v>1</v>
      </c>
      <c r="D164" s="1122" t="str">
        <f>'BID IV'!B7</f>
        <v xml:space="preserve">: (Ketahanan Pangan) Pelatihan Budidaya Maggot Black Soldier Fly (BSF) </v>
      </c>
      <c r="E164" s="1" t="s">
        <v>2497</v>
      </c>
      <c r="F164" s="4" t="s">
        <v>2555</v>
      </c>
      <c r="G164" s="169">
        <v>1</v>
      </c>
      <c r="H164" s="18" t="s">
        <v>1102</v>
      </c>
      <c r="I164" s="1" t="s">
        <v>1144</v>
      </c>
      <c r="J164" s="1" t="s">
        <v>2553</v>
      </c>
      <c r="K164" s="20" t="s">
        <v>1630</v>
      </c>
      <c r="L164" s="118">
        <f>'BID IV'!F48</f>
        <v>14791000</v>
      </c>
      <c r="M164" s="35" t="s">
        <v>1104</v>
      </c>
      <c r="N164" s="35" t="s">
        <v>1105</v>
      </c>
    </row>
    <row r="165" spans="1:14" ht="40.5" customHeight="1" x14ac:dyDescent="0.25">
      <c r="A165" s="1"/>
      <c r="B165" s="4"/>
      <c r="C165" s="34">
        <v>2</v>
      </c>
      <c r="D165" s="1122" t="str">
        <f>'BID IV'!B63</f>
        <v>: Penguatan Ketahanan Pangan Tingkat Desa (Penanaman Bunga Gumitir)</v>
      </c>
      <c r="E165" s="1" t="s">
        <v>2497</v>
      </c>
      <c r="F165" s="4" t="s">
        <v>2555</v>
      </c>
      <c r="G165" s="169">
        <v>1</v>
      </c>
      <c r="H165" s="18" t="s">
        <v>1102</v>
      </c>
      <c r="I165" s="1" t="s">
        <v>1144</v>
      </c>
      <c r="J165" s="1" t="s">
        <v>2554</v>
      </c>
      <c r="K165" s="20" t="s">
        <v>1630</v>
      </c>
      <c r="L165" s="118">
        <f>'BID IV'!F100</f>
        <v>28860000</v>
      </c>
      <c r="M165" s="35" t="s">
        <v>1104</v>
      </c>
      <c r="N165" s="35" t="s">
        <v>1105</v>
      </c>
    </row>
    <row r="166" spans="1:14" ht="43.5" customHeight="1" x14ac:dyDescent="0.25">
      <c r="A166" s="1"/>
      <c r="B166" s="4"/>
      <c r="C166" s="34">
        <v>3</v>
      </c>
      <c r="D166" s="1122" t="str">
        <f>'BID IV'!B115</f>
        <v>: TEBA MODERN</v>
      </c>
      <c r="E166" s="1" t="s">
        <v>2498</v>
      </c>
      <c r="F166" s="4" t="s">
        <v>2556</v>
      </c>
      <c r="G166" s="169">
        <v>1</v>
      </c>
      <c r="H166" s="18" t="s">
        <v>1102</v>
      </c>
      <c r="I166" s="1" t="s">
        <v>1144</v>
      </c>
      <c r="J166" s="38" t="s">
        <v>2196</v>
      </c>
      <c r="K166" s="20" t="s">
        <v>1630</v>
      </c>
      <c r="L166" s="118">
        <f>'BID IV'!F148</f>
        <v>10255000</v>
      </c>
      <c r="M166" s="35" t="s">
        <v>1104</v>
      </c>
      <c r="N166" s="35" t="s">
        <v>1105</v>
      </c>
    </row>
    <row r="167" spans="1:14" ht="47.25" x14ac:dyDescent="0.25">
      <c r="A167" s="1"/>
      <c r="B167" s="4"/>
      <c r="C167" s="34">
        <v>4</v>
      </c>
      <c r="D167" s="1122" t="str">
        <f>'BID IV'!B156</f>
        <v>: Pelatihan Tim Verifikasi dan penyusunan RKP ( Pelatihan Penysunan RKPDes)</v>
      </c>
      <c r="E167" s="1" t="s">
        <v>2498</v>
      </c>
      <c r="F167" s="4" t="s">
        <v>2558</v>
      </c>
      <c r="G167" s="169">
        <v>1</v>
      </c>
      <c r="H167" s="18" t="s">
        <v>1102</v>
      </c>
      <c r="I167" s="1" t="s">
        <v>1144</v>
      </c>
      <c r="J167" s="38" t="s">
        <v>2196</v>
      </c>
      <c r="K167" s="20" t="s">
        <v>1630</v>
      </c>
      <c r="L167" s="118">
        <f>'BID IV'!F177</f>
        <v>1220000</v>
      </c>
      <c r="M167" s="35" t="s">
        <v>1104</v>
      </c>
      <c r="N167" s="35" t="s">
        <v>1105</v>
      </c>
    </row>
    <row r="168" spans="1:14" ht="42.75" customHeight="1" x14ac:dyDescent="0.25">
      <c r="A168" s="1"/>
      <c r="B168" s="4"/>
      <c r="C168" s="34">
        <v>5</v>
      </c>
      <c r="D168" s="1122" t="str">
        <f>'BID IV'!B193</f>
        <v>: Pelatihan Perangkat Desa</v>
      </c>
      <c r="E168" s="1" t="s">
        <v>2498</v>
      </c>
      <c r="F168" s="4" t="s">
        <v>2558</v>
      </c>
      <c r="G168" s="169">
        <v>1</v>
      </c>
      <c r="H168" s="18" t="s">
        <v>1102</v>
      </c>
      <c r="I168" s="1" t="s">
        <v>1144</v>
      </c>
      <c r="J168" s="38" t="s">
        <v>2196</v>
      </c>
      <c r="K168" s="20" t="s">
        <v>1630</v>
      </c>
      <c r="L168" s="118">
        <f>'BID IV'!F216</f>
        <v>85110000</v>
      </c>
      <c r="M168" s="35" t="s">
        <v>1104</v>
      </c>
      <c r="N168" s="35" t="s">
        <v>1105</v>
      </c>
    </row>
    <row r="169" spans="1:14" ht="54" customHeight="1" x14ac:dyDescent="0.25">
      <c r="A169" s="1"/>
      <c r="B169" s="4"/>
      <c r="C169" s="34">
        <v>6</v>
      </c>
      <c r="D169" s="1122" t="str">
        <f>'BID IV'!B233</f>
        <v>: Peningkatan Kapasitas BPD</v>
      </c>
      <c r="E169" s="1" t="s">
        <v>2498</v>
      </c>
      <c r="F169" s="4" t="s">
        <v>2558</v>
      </c>
      <c r="G169" s="169">
        <v>1</v>
      </c>
      <c r="H169" s="18" t="s">
        <v>1102</v>
      </c>
      <c r="I169" s="1" t="s">
        <v>1144</v>
      </c>
      <c r="J169" s="38" t="s">
        <v>2196</v>
      </c>
      <c r="K169" s="20" t="s">
        <v>1630</v>
      </c>
      <c r="L169" s="118">
        <f>'BID IV'!F259</f>
        <v>37120000</v>
      </c>
      <c r="M169" s="35" t="s">
        <v>1104</v>
      </c>
      <c r="N169" s="35" t="s">
        <v>1105</v>
      </c>
    </row>
    <row r="170" spans="1:14" ht="47.25" x14ac:dyDescent="0.25">
      <c r="A170" s="1"/>
      <c r="B170" s="4"/>
      <c r="C170" s="34">
        <v>7</v>
      </c>
      <c r="D170" s="1122" t="str">
        <f>'BID IV'!B273</f>
        <v>: Pelatihan PKPKD, PPKD dan TPK</v>
      </c>
      <c r="E170" s="1" t="s">
        <v>2498</v>
      </c>
      <c r="F170" s="4" t="s">
        <v>2558</v>
      </c>
      <c r="G170" s="169">
        <v>1</v>
      </c>
      <c r="H170" s="18" t="s">
        <v>1102</v>
      </c>
      <c r="I170" s="1" t="s">
        <v>1144</v>
      </c>
      <c r="J170" s="38" t="s">
        <v>2196</v>
      </c>
      <c r="K170" s="20" t="s">
        <v>1630</v>
      </c>
      <c r="L170" s="118">
        <f>'BID IV'!F296</f>
        <v>1655000</v>
      </c>
      <c r="M170" s="35" t="s">
        <v>1104</v>
      </c>
      <c r="N170" s="35" t="s">
        <v>1105</v>
      </c>
    </row>
    <row r="171" spans="1:14" ht="47.25" x14ac:dyDescent="0.25">
      <c r="A171" s="1"/>
      <c r="B171" s="4"/>
      <c r="C171" s="34">
        <v>8</v>
      </c>
      <c r="D171" s="1122" t="str">
        <f>'BID IV'!B311</f>
        <v xml:space="preserve">: Pembinaan Kelompok P2WKSS  </v>
      </c>
      <c r="E171" s="1" t="s">
        <v>2498</v>
      </c>
      <c r="F171" s="4" t="s">
        <v>2558</v>
      </c>
      <c r="G171" s="169">
        <v>1</v>
      </c>
      <c r="H171" s="18" t="s">
        <v>1102</v>
      </c>
      <c r="I171" s="1" t="s">
        <v>1144</v>
      </c>
      <c r="J171" s="38" t="s">
        <v>2196</v>
      </c>
      <c r="K171" s="20" t="s">
        <v>1630</v>
      </c>
      <c r="L171" s="118">
        <f>'BID IV'!F327</f>
        <v>1290000</v>
      </c>
      <c r="M171" s="35" t="s">
        <v>1104</v>
      </c>
      <c r="N171" s="35" t="s">
        <v>1105</v>
      </c>
    </row>
    <row r="172" spans="1:14" ht="69.75" customHeight="1" x14ac:dyDescent="0.25">
      <c r="A172" s="1"/>
      <c r="B172" s="4"/>
      <c r="C172" s="34">
        <v>9</v>
      </c>
      <c r="D172" s="1122" t="str">
        <f>'BID IV'!B340</f>
        <v xml:space="preserve">: Pelatihan Pemberdayaan Perempuan ( Pelatihan Membuat Kroket Kentang dan Sushi untuk PKK Desa ) </v>
      </c>
      <c r="E172" s="1" t="s">
        <v>2497</v>
      </c>
      <c r="F172" s="4" t="s">
        <v>2558</v>
      </c>
      <c r="G172" s="169">
        <v>1</v>
      </c>
      <c r="H172" s="18" t="s">
        <v>1102</v>
      </c>
      <c r="I172" s="1" t="s">
        <v>1144</v>
      </c>
      <c r="J172" s="38" t="s">
        <v>2196</v>
      </c>
      <c r="K172" s="20" t="s">
        <v>1630</v>
      </c>
      <c r="L172" s="118">
        <f>'BID IV'!F395</f>
        <v>5874900</v>
      </c>
      <c r="M172" s="35" t="s">
        <v>1104</v>
      </c>
      <c r="N172" s="35" t="s">
        <v>1105</v>
      </c>
    </row>
    <row r="173" spans="1:14" ht="64.5" customHeight="1" x14ac:dyDescent="0.25">
      <c r="A173" s="1"/>
      <c r="B173" s="4"/>
      <c r="C173" s="34">
        <v>10</v>
      </c>
      <c r="D173" s="1122" t="str">
        <f>'BID IV'!B408</f>
        <v xml:space="preserve">: Pelatihan/ Penyuluhan Pemberdayaan Perempuan        ( Pelatihan Membuat Banten Tumpeng Solas dan Banten Caru untuk PKK Desa ) </v>
      </c>
      <c r="E173" s="1" t="s">
        <v>2497</v>
      </c>
      <c r="F173" s="4" t="s">
        <v>2558</v>
      </c>
      <c r="G173" s="169">
        <v>1</v>
      </c>
      <c r="H173" s="18" t="s">
        <v>1102</v>
      </c>
      <c r="I173" s="1" t="s">
        <v>1144</v>
      </c>
      <c r="J173" s="38" t="s">
        <v>2196</v>
      </c>
      <c r="K173" s="20" t="s">
        <v>1630</v>
      </c>
      <c r="L173" s="118">
        <f>'BID IV'!F458</f>
        <v>4181000</v>
      </c>
      <c r="M173" s="35" t="s">
        <v>1104</v>
      </c>
      <c r="N173" s="35" t="s">
        <v>1105</v>
      </c>
    </row>
    <row r="174" spans="1:14" ht="60" customHeight="1" x14ac:dyDescent="0.25">
      <c r="A174" s="1"/>
      <c r="B174" s="4"/>
      <c r="C174" s="34">
        <v>11</v>
      </c>
      <c r="D174" s="1122" t="str">
        <f>'BID IV'!B471</f>
        <v>: Pelatihan/Penyuluhan Perlindungan Anak (Pembinaan Forum Anak Desa)</v>
      </c>
      <c r="E174" s="1" t="s">
        <v>2497</v>
      </c>
      <c r="F174" s="4" t="s">
        <v>2558</v>
      </c>
      <c r="G174" s="169">
        <v>1</v>
      </c>
      <c r="H174" s="18" t="s">
        <v>1102</v>
      </c>
      <c r="I174" s="1" t="s">
        <v>1144</v>
      </c>
      <c r="J174" s="38" t="s">
        <v>2196</v>
      </c>
      <c r="K174" s="20" t="s">
        <v>1630</v>
      </c>
      <c r="L174" s="118">
        <f>'BID IV'!F502</f>
        <v>23025400</v>
      </c>
      <c r="M174" s="35" t="s">
        <v>1104</v>
      </c>
      <c r="N174" s="35" t="s">
        <v>1105</v>
      </c>
    </row>
    <row r="175" spans="1:14" ht="47.25" customHeight="1" x14ac:dyDescent="0.25">
      <c r="A175" s="33"/>
      <c r="B175" s="1127"/>
      <c r="C175" s="34">
        <v>12</v>
      </c>
      <c r="D175" s="1131" t="str">
        <f>'BID IV'!B516</f>
        <v>: Pengembangan sarana dan prasarana usaha mikro, kecil dan menengah serta koprasi  (Pelatihan Management BUMDes)</v>
      </c>
      <c r="E175" s="1" t="s">
        <v>2497</v>
      </c>
      <c r="F175" s="4" t="s">
        <v>2558</v>
      </c>
      <c r="G175" s="169">
        <v>1</v>
      </c>
      <c r="H175" s="18" t="s">
        <v>1102</v>
      </c>
      <c r="I175" s="1" t="s">
        <v>1144</v>
      </c>
      <c r="J175" s="38" t="s">
        <v>2196</v>
      </c>
      <c r="K175" s="20" t="s">
        <v>1630</v>
      </c>
      <c r="L175" s="1129">
        <f>'BID IV'!F538</f>
        <v>1205000</v>
      </c>
      <c r="M175" s="35" t="s">
        <v>1104</v>
      </c>
      <c r="N175" s="35" t="s">
        <v>1105</v>
      </c>
    </row>
    <row r="176" spans="1:14" ht="93.75" customHeight="1" thickBot="1" x14ac:dyDescent="0.3">
      <c r="A176" s="33"/>
      <c r="B176" s="1127"/>
      <c r="C176" s="34">
        <v>13</v>
      </c>
      <c r="D176" s="1131" t="e">
        <f>'BID IV'!#REF!</f>
        <v>#REF!</v>
      </c>
      <c r="E176" s="1132" t="s">
        <v>2499</v>
      </c>
      <c r="F176" s="1127" t="s">
        <v>2557</v>
      </c>
      <c r="G176" s="169">
        <v>1</v>
      </c>
      <c r="H176" s="18" t="s">
        <v>1102</v>
      </c>
      <c r="I176" s="33" t="s">
        <v>1645</v>
      </c>
      <c r="J176" s="38" t="s">
        <v>2196</v>
      </c>
      <c r="K176" s="20" t="s">
        <v>1630</v>
      </c>
      <c r="L176" s="1129" t="e">
        <f>'BID IV'!#REF!</f>
        <v>#REF!</v>
      </c>
      <c r="M176" s="35" t="s">
        <v>1104</v>
      </c>
      <c r="N176" s="35" t="s">
        <v>1105</v>
      </c>
    </row>
    <row r="177" spans="1:14" ht="15.75" thickBot="1" x14ac:dyDescent="0.3">
      <c r="A177" s="2078" t="s">
        <v>1481</v>
      </c>
      <c r="B177" s="2079"/>
      <c r="C177" s="2079"/>
      <c r="D177" s="2079"/>
      <c r="E177" s="2079"/>
      <c r="F177" s="2079"/>
      <c r="G177" s="2079"/>
      <c r="H177" s="2079"/>
      <c r="I177" s="2079"/>
      <c r="J177" s="2079"/>
      <c r="K177" s="2080"/>
      <c r="L177" s="1124" t="e">
        <f>SUM(L164:L176)</f>
        <v>#REF!</v>
      </c>
      <c r="M177" s="167"/>
      <c r="N177" s="1133"/>
    </row>
    <row r="178" spans="1:14" ht="15.75" thickBot="1" x14ac:dyDescent="0.3">
      <c r="A178" s="2075" t="s">
        <v>1284</v>
      </c>
      <c r="B178" s="2076"/>
      <c r="C178" s="2076"/>
      <c r="D178" s="2076"/>
      <c r="E178" s="2076"/>
      <c r="F178" s="2076"/>
      <c r="G178" s="2076"/>
      <c r="H178" s="2076"/>
      <c r="I178" s="2076"/>
      <c r="J178" s="2076"/>
      <c r="K178" s="2076"/>
      <c r="L178" s="1134" t="e">
        <f>L177+L162+L120+L47</f>
        <v>#REF!</v>
      </c>
      <c r="M178" s="168"/>
      <c r="N178" s="1135"/>
    </row>
    <row r="179" spans="1:14" x14ac:dyDescent="0.25">
      <c r="A179">
        <v>110</v>
      </c>
      <c r="B179" s="5" t="s">
        <v>754</v>
      </c>
    </row>
  </sheetData>
  <mergeCells count="11">
    <mergeCell ref="A47:K47"/>
    <mergeCell ref="A120:K120"/>
    <mergeCell ref="A162:K162"/>
    <mergeCell ref="A177:K177"/>
    <mergeCell ref="A178:K178"/>
    <mergeCell ref="O9:O10"/>
    <mergeCell ref="A1:N1"/>
    <mergeCell ref="A2:N2"/>
    <mergeCell ref="B9:D9"/>
    <mergeCell ref="L9:M9"/>
    <mergeCell ref="N9:N10"/>
  </mergeCells>
  <pageMargins left="0.7" right="1.45" top="0.75" bottom="0.75" header="0.3" footer="0.3"/>
  <pageSetup paperSize="5" scale="55" orientation="landscape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"/>
  <sheetViews>
    <sheetView topLeftCell="A9" zoomScale="71" zoomScaleNormal="71" workbookViewId="0">
      <selection activeCell="N15" sqref="N15"/>
    </sheetView>
  </sheetViews>
  <sheetFormatPr defaultRowHeight="15" x14ac:dyDescent="0.25"/>
  <cols>
    <col min="1" max="1" width="4.5703125" customWidth="1"/>
    <col min="2" max="2" width="20.42578125" customWidth="1"/>
    <col min="3" max="3" width="3.5703125" customWidth="1"/>
    <col min="4" max="4" width="24.28515625" customWidth="1"/>
    <col min="5" max="5" width="9.85546875" customWidth="1"/>
    <col min="6" max="6" width="9.5703125" customWidth="1"/>
    <col min="7" max="7" width="18.28515625" customWidth="1"/>
    <col min="8" max="8" width="16.5703125" customWidth="1"/>
    <col min="9" max="9" width="20.7109375" customWidth="1"/>
    <col min="10" max="10" width="14.7109375" customWidth="1"/>
  </cols>
  <sheetData>
    <row r="1" spans="1:10" ht="15.75" x14ac:dyDescent="0.25">
      <c r="A1" s="2084" t="s">
        <v>1262</v>
      </c>
      <c r="B1" s="2084"/>
      <c r="C1" s="2084"/>
      <c r="D1" s="2084"/>
      <c r="E1" s="2084"/>
      <c r="F1" s="2084"/>
      <c r="G1" s="2084"/>
      <c r="H1" s="2084"/>
      <c r="I1" s="2084"/>
      <c r="J1" s="2084"/>
    </row>
    <row r="2" spans="1:10" ht="15.75" x14ac:dyDescent="0.25">
      <c r="A2" s="2084" t="s">
        <v>1286</v>
      </c>
      <c r="B2" s="2084"/>
      <c r="C2" s="2084"/>
      <c r="D2" s="2084"/>
      <c r="E2" s="2084"/>
      <c r="F2" s="2084"/>
      <c r="G2" s="2084"/>
      <c r="H2" s="2084"/>
      <c r="I2" s="2084"/>
      <c r="J2" s="2084"/>
    </row>
    <row r="3" spans="1:10" ht="15.75" x14ac:dyDescent="0.25">
      <c r="A3" s="7" t="s">
        <v>1263</v>
      </c>
      <c r="B3" s="47"/>
      <c r="C3" s="48" t="s">
        <v>63</v>
      </c>
      <c r="D3" s="47" t="s">
        <v>1264</v>
      </c>
      <c r="E3" s="47"/>
      <c r="F3" s="47"/>
      <c r="G3" s="47"/>
      <c r="H3" s="47"/>
      <c r="I3" s="47"/>
    </row>
    <row r="4" spans="1:10" ht="15.75" x14ac:dyDescent="0.25">
      <c r="A4" s="7" t="s">
        <v>1265</v>
      </c>
      <c r="B4" s="49"/>
      <c r="C4" s="48" t="s">
        <v>63</v>
      </c>
      <c r="D4" s="47" t="s">
        <v>1266</v>
      </c>
      <c r="E4" s="47"/>
      <c r="F4" s="47"/>
      <c r="G4" s="47"/>
      <c r="H4" s="47"/>
      <c r="I4" s="47"/>
    </row>
    <row r="5" spans="1:10" ht="15.75" x14ac:dyDescent="0.25">
      <c r="A5" s="7" t="s">
        <v>1267</v>
      </c>
      <c r="B5" s="49"/>
      <c r="C5" s="48" t="s">
        <v>63</v>
      </c>
      <c r="D5" s="47" t="s">
        <v>1268</v>
      </c>
      <c r="E5" s="47"/>
      <c r="F5" s="47"/>
      <c r="G5" s="47"/>
      <c r="H5" s="47"/>
      <c r="I5" s="7"/>
    </row>
    <row r="6" spans="1:10" ht="15.75" x14ac:dyDescent="0.25">
      <c r="A6" s="7" t="s">
        <v>1269</v>
      </c>
      <c r="B6" s="49"/>
      <c r="C6" s="48" t="s">
        <v>63</v>
      </c>
      <c r="D6" s="47" t="s">
        <v>1270</v>
      </c>
      <c r="E6" s="47"/>
      <c r="F6" s="47"/>
      <c r="G6" s="47"/>
      <c r="H6" s="47"/>
      <c r="I6" s="7"/>
    </row>
    <row r="7" spans="1:10" ht="16.5" thickBot="1" x14ac:dyDescent="0.3">
      <c r="A7" s="47"/>
      <c r="B7" s="47"/>
      <c r="C7" s="47"/>
      <c r="D7" s="47"/>
      <c r="E7" s="47"/>
      <c r="F7" s="47"/>
      <c r="G7" s="47"/>
      <c r="H7" s="47"/>
      <c r="I7" s="47"/>
    </row>
    <row r="8" spans="1:10" ht="48" thickBot="1" x14ac:dyDescent="0.3">
      <c r="A8" s="50" t="s">
        <v>1039</v>
      </c>
      <c r="B8" s="51" t="s">
        <v>1083</v>
      </c>
      <c r="C8" s="51"/>
      <c r="D8" s="51" t="s">
        <v>1084</v>
      </c>
      <c r="E8" s="52" t="s">
        <v>1077</v>
      </c>
      <c r="F8" s="52" t="s">
        <v>545</v>
      </c>
      <c r="G8" s="51" t="s">
        <v>1271</v>
      </c>
      <c r="H8" s="51" t="s">
        <v>1272</v>
      </c>
      <c r="I8" s="53" t="s">
        <v>1273</v>
      </c>
      <c r="J8" s="53" t="s">
        <v>1274</v>
      </c>
    </row>
    <row r="9" spans="1:10" ht="15.75" x14ac:dyDescent="0.25">
      <c r="A9" s="2085">
        <v>1</v>
      </c>
      <c r="B9" s="2088" t="s">
        <v>57</v>
      </c>
      <c r="C9" s="54"/>
      <c r="D9" s="55"/>
      <c r="E9" s="56"/>
      <c r="F9" s="57"/>
      <c r="G9" s="57"/>
      <c r="H9" s="57"/>
      <c r="I9" s="58"/>
      <c r="J9" s="59"/>
    </row>
    <row r="10" spans="1:10" ht="15.75" x14ac:dyDescent="0.25">
      <c r="A10" s="2086"/>
      <c r="B10" s="2089"/>
      <c r="C10" s="60"/>
      <c r="D10" s="61"/>
      <c r="E10" s="62"/>
      <c r="F10" s="62"/>
      <c r="G10" s="63"/>
      <c r="H10" s="63"/>
      <c r="I10" s="64"/>
      <c r="J10" s="65"/>
    </row>
    <row r="11" spans="1:10" ht="15.75" x14ac:dyDescent="0.25">
      <c r="A11" s="2087"/>
      <c r="B11" s="2090"/>
      <c r="C11" s="66"/>
      <c r="D11" s="61"/>
      <c r="E11" s="62"/>
      <c r="F11" s="62"/>
      <c r="G11" s="62"/>
      <c r="H11" s="62"/>
      <c r="I11" s="64"/>
      <c r="J11" s="65"/>
    </row>
    <row r="12" spans="1:10" ht="15.75" x14ac:dyDescent="0.25">
      <c r="A12" s="2091" t="s">
        <v>1107</v>
      </c>
      <c r="B12" s="2092"/>
      <c r="C12" s="2092"/>
      <c r="D12" s="2092"/>
      <c r="E12" s="2092"/>
      <c r="F12" s="2092"/>
      <c r="G12" s="2092"/>
      <c r="H12" s="2093"/>
      <c r="I12" s="64">
        <f>SUM(I9:I11)</f>
        <v>0</v>
      </c>
      <c r="J12" s="65"/>
    </row>
    <row r="13" spans="1:10" ht="78.75" x14ac:dyDescent="0.25">
      <c r="A13" s="2097">
        <v>2</v>
      </c>
      <c r="B13" s="2100" t="s">
        <v>839</v>
      </c>
      <c r="C13" s="66"/>
      <c r="D13" s="67" t="s">
        <v>1712</v>
      </c>
      <c r="E13" s="68" t="s">
        <v>1102</v>
      </c>
      <c r="F13" s="69" t="s">
        <v>1275</v>
      </c>
      <c r="G13" s="61" t="s">
        <v>1279</v>
      </c>
      <c r="H13" s="70" t="s">
        <v>1713</v>
      </c>
      <c r="I13" s="64">
        <v>2500000000</v>
      </c>
      <c r="J13" s="71" t="s">
        <v>1276</v>
      </c>
    </row>
    <row r="14" spans="1:10" ht="78.75" x14ac:dyDescent="0.25">
      <c r="A14" s="2098"/>
      <c r="B14" s="2101"/>
      <c r="C14" s="60"/>
      <c r="D14" s="67" t="s">
        <v>1277</v>
      </c>
      <c r="E14" s="68" t="s">
        <v>1102</v>
      </c>
      <c r="F14" s="72" t="s">
        <v>1278</v>
      </c>
      <c r="G14" s="61" t="s">
        <v>1279</v>
      </c>
      <c r="H14" s="70" t="s">
        <v>1280</v>
      </c>
      <c r="I14" s="73">
        <v>7180941216</v>
      </c>
      <c r="J14" s="71" t="s">
        <v>1276</v>
      </c>
    </row>
    <row r="15" spans="1:10" ht="90.75" customHeight="1" x14ac:dyDescent="0.25">
      <c r="A15" s="2098"/>
      <c r="B15" s="2101"/>
      <c r="C15" s="60"/>
      <c r="D15" s="67" t="s">
        <v>2561</v>
      </c>
      <c r="E15" s="68" t="s">
        <v>1102</v>
      </c>
      <c r="F15" s="72" t="s">
        <v>2562</v>
      </c>
      <c r="G15" s="61" t="s">
        <v>1279</v>
      </c>
      <c r="H15" s="70" t="s">
        <v>2560</v>
      </c>
      <c r="I15" s="64">
        <v>3150000000</v>
      </c>
      <c r="J15" s="71" t="s">
        <v>1276</v>
      </c>
    </row>
    <row r="16" spans="1:10" ht="78.75" x14ac:dyDescent="0.25">
      <c r="A16" s="2099"/>
      <c r="B16" s="2102"/>
      <c r="C16" s="60"/>
      <c r="D16" s="67" t="s">
        <v>1420</v>
      </c>
      <c r="E16" s="68" t="s">
        <v>1102</v>
      </c>
      <c r="F16" s="69" t="s">
        <v>1421</v>
      </c>
      <c r="G16" s="68" t="s">
        <v>1423</v>
      </c>
      <c r="H16" s="70" t="s">
        <v>1424</v>
      </c>
      <c r="I16" s="64">
        <v>657000000</v>
      </c>
      <c r="J16" s="71" t="s">
        <v>1276</v>
      </c>
    </row>
    <row r="17" spans="1:11" ht="15.75" x14ac:dyDescent="0.25">
      <c r="A17" s="2091" t="s">
        <v>1281</v>
      </c>
      <c r="B17" s="2092"/>
      <c r="C17" s="2092"/>
      <c r="D17" s="2092"/>
      <c r="E17" s="2092"/>
      <c r="F17" s="2092"/>
      <c r="G17" s="2092"/>
      <c r="H17" s="2092"/>
      <c r="I17" s="64">
        <f>SUM(I13:I16)</f>
        <v>13487941216</v>
      </c>
      <c r="J17" s="65"/>
    </row>
    <row r="18" spans="1:11" ht="15.75" x14ac:dyDescent="0.25">
      <c r="A18" s="74"/>
      <c r="B18" s="69"/>
      <c r="C18" s="69"/>
      <c r="D18" s="69"/>
      <c r="E18" s="69"/>
      <c r="F18" s="69"/>
      <c r="G18" s="69"/>
      <c r="H18" s="75"/>
      <c r="I18" s="64"/>
      <c r="J18" s="65"/>
    </row>
    <row r="19" spans="1:11" ht="15.75" x14ac:dyDescent="0.25">
      <c r="A19" s="2103">
        <v>3</v>
      </c>
      <c r="B19" s="2104" t="s">
        <v>1110</v>
      </c>
      <c r="C19" s="60"/>
      <c r="D19" s="61"/>
      <c r="E19" s="63"/>
      <c r="F19" s="62"/>
      <c r="G19" s="62"/>
      <c r="H19" s="62"/>
      <c r="I19" s="64"/>
      <c r="J19" s="65"/>
    </row>
    <row r="20" spans="1:11" ht="15.75" x14ac:dyDescent="0.25">
      <c r="A20" s="2087"/>
      <c r="B20" s="2090"/>
      <c r="C20" s="60"/>
      <c r="D20" s="61"/>
      <c r="E20" s="63"/>
      <c r="F20" s="62"/>
      <c r="G20" s="62"/>
      <c r="H20" s="62"/>
      <c r="I20" s="64"/>
      <c r="J20" s="65"/>
    </row>
    <row r="21" spans="1:11" ht="15.75" x14ac:dyDescent="0.25">
      <c r="A21" s="2091" t="s">
        <v>1282</v>
      </c>
      <c r="B21" s="2092"/>
      <c r="C21" s="2092"/>
      <c r="D21" s="2092"/>
      <c r="E21" s="2092"/>
      <c r="F21" s="2092"/>
      <c r="G21" s="2092"/>
      <c r="H21" s="2093"/>
      <c r="I21" s="76">
        <f>SUM(I19:I20)</f>
        <v>0</v>
      </c>
      <c r="J21" s="65"/>
    </row>
    <row r="22" spans="1:11" ht="15.75" x14ac:dyDescent="0.25">
      <c r="A22" s="2103">
        <v>4</v>
      </c>
      <c r="B22" s="2104" t="s">
        <v>1113</v>
      </c>
      <c r="C22" s="60"/>
      <c r="D22" s="69"/>
      <c r="E22" s="69"/>
      <c r="F22" s="69"/>
      <c r="G22" s="69"/>
      <c r="H22" s="75"/>
      <c r="I22" s="76"/>
      <c r="J22" s="65"/>
    </row>
    <row r="23" spans="1:11" ht="15.75" x14ac:dyDescent="0.25">
      <c r="A23" s="2087"/>
      <c r="B23" s="2090"/>
      <c r="C23" s="60"/>
      <c r="D23" s="69"/>
      <c r="E23" s="69"/>
      <c r="F23" s="69"/>
      <c r="G23" s="69"/>
      <c r="H23" s="75"/>
      <c r="I23" s="76"/>
      <c r="J23" s="65"/>
    </row>
    <row r="24" spans="1:11" ht="15.75" x14ac:dyDescent="0.25">
      <c r="A24" s="2091" t="s">
        <v>1283</v>
      </c>
      <c r="B24" s="2092"/>
      <c r="C24" s="2092"/>
      <c r="D24" s="2092"/>
      <c r="E24" s="2092"/>
      <c r="F24" s="2092"/>
      <c r="G24" s="2092"/>
      <c r="H24" s="2093"/>
      <c r="I24" s="76"/>
      <c r="J24" s="65"/>
    </row>
    <row r="25" spans="1:11" ht="15.75" x14ac:dyDescent="0.25">
      <c r="A25" s="2091"/>
      <c r="B25" s="2092"/>
      <c r="C25" s="2092"/>
      <c r="D25" s="2092"/>
      <c r="E25" s="2092"/>
      <c r="F25" s="2092"/>
      <c r="G25" s="2092"/>
      <c r="H25" s="2093"/>
      <c r="I25" s="64"/>
      <c r="J25" s="65"/>
    </row>
    <row r="26" spans="1:11" ht="16.5" thickBot="1" x14ac:dyDescent="0.3">
      <c r="A26" s="2094" t="s">
        <v>1284</v>
      </c>
      <c r="B26" s="2095"/>
      <c r="C26" s="2095"/>
      <c r="D26" s="2095"/>
      <c r="E26" s="2095"/>
      <c r="F26" s="2095"/>
      <c r="G26" s="2095"/>
      <c r="H26" s="2095"/>
      <c r="I26" s="77">
        <f>I12+I17+I21+I24</f>
        <v>13487941216</v>
      </c>
      <c r="J26" s="78"/>
    </row>
    <row r="27" spans="1:11" ht="15.75" x14ac:dyDescent="0.25">
      <c r="A27" s="79"/>
      <c r="B27" s="79"/>
      <c r="C27" s="79"/>
      <c r="D27" s="79"/>
      <c r="E27" s="79"/>
      <c r="F27" s="79"/>
      <c r="G27" s="79"/>
      <c r="H27" s="79"/>
      <c r="I27" s="80"/>
    </row>
    <row r="28" spans="1:11" ht="15.75" x14ac:dyDescent="0.25">
      <c r="A28" s="7"/>
      <c r="B28" s="81"/>
      <c r="C28" s="81"/>
      <c r="D28" s="7"/>
      <c r="E28" s="47"/>
      <c r="F28" s="7"/>
      <c r="G28" s="7"/>
      <c r="H28" s="7"/>
      <c r="I28" s="7"/>
    </row>
    <row r="29" spans="1:11" ht="15.75" x14ac:dyDescent="0.25">
      <c r="A29" s="47"/>
      <c r="B29" s="7"/>
      <c r="C29" s="7"/>
      <c r="D29" s="7"/>
      <c r="E29" s="7"/>
      <c r="F29" s="7"/>
      <c r="G29" s="7"/>
      <c r="H29" s="7" t="s">
        <v>1404</v>
      </c>
      <c r="I29" s="7"/>
      <c r="J29" s="7"/>
      <c r="K29" s="7"/>
    </row>
    <row r="30" spans="1:11" ht="15.75" x14ac:dyDescent="0.25">
      <c r="A30" s="47"/>
      <c r="B30" s="2096" t="s">
        <v>1332</v>
      </c>
      <c r="C30" s="2096"/>
      <c r="D30" s="2096"/>
      <c r="E30" s="7"/>
      <c r="F30" s="7"/>
      <c r="G30" s="7"/>
      <c r="H30" s="7" t="s">
        <v>1116</v>
      </c>
      <c r="I30" s="7"/>
      <c r="J30" s="7"/>
      <c r="K30" s="7"/>
    </row>
    <row r="31" spans="1:11" ht="15.75" x14ac:dyDescent="0.25">
      <c r="A31" s="47"/>
      <c r="B31" s="2096" t="s">
        <v>1405</v>
      </c>
      <c r="C31" s="2096"/>
      <c r="D31" s="2096"/>
      <c r="E31" s="7"/>
      <c r="F31" s="7"/>
      <c r="G31" s="7"/>
      <c r="H31" s="7" t="s">
        <v>1403</v>
      </c>
      <c r="I31" s="7"/>
      <c r="J31" s="7"/>
      <c r="K31" s="7"/>
    </row>
    <row r="32" spans="1:11" ht="15.75" x14ac:dyDescent="0.25">
      <c r="A32" s="4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5.75" x14ac:dyDescent="0.25">
      <c r="A33" s="4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5.75" x14ac:dyDescent="0.25">
      <c r="A34" s="4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.75" x14ac:dyDescent="0.25">
      <c r="B35" s="2096" t="s">
        <v>1117</v>
      </c>
      <c r="C35" s="2096"/>
      <c r="D35" s="2096"/>
      <c r="E35" s="7"/>
      <c r="F35" s="7"/>
      <c r="G35" s="7"/>
      <c r="H35" s="7" t="s">
        <v>1118</v>
      </c>
      <c r="I35" s="7"/>
      <c r="J35" s="7"/>
      <c r="K35" s="7"/>
    </row>
  </sheetData>
  <mergeCells count="19">
    <mergeCell ref="A26:H26"/>
    <mergeCell ref="B30:D30"/>
    <mergeCell ref="B31:D31"/>
    <mergeCell ref="B35:D35"/>
    <mergeCell ref="A13:A16"/>
    <mergeCell ref="B13:B16"/>
    <mergeCell ref="A17:H17"/>
    <mergeCell ref="A19:A20"/>
    <mergeCell ref="B19:B20"/>
    <mergeCell ref="A21:H21"/>
    <mergeCell ref="A22:A23"/>
    <mergeCell ref="B22:B23"/>
    <mergeCell ref="A24:H24"/>
    <mergeCell ref="A25:H25"/>
    <mergeCell ref="A1:J1"/>
    <mergeCell ref="A2:J2"/>
    <mergeCell ref="A9:A11"/>
    <mergeCell ref="B9:B11"/>
    <mergeCell ref="A12:H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topLeftCell="C10" workbookViewId="0">
      <selection activeCell="A29" sqref="A29:XFD32"/>
    </sheetView>
  </sheetViews>
  <sheetFormatPr defaultRowHeight="15" x14ac:dyDescent="0.25"/>
  <cols>
    <col min="1" max="1" width="13.7109375" customWidth="1"/>
    <col min="2" max="2" width="24.140625" customWidth="1"/>
    <col min="3" max="3" width="8" customWidth="1"/>
    <col min="4" max="4" width="29.5703125" customWidth="1"/>
    <col min="5" max="5" width="51.85546875" customWidth="1"/>
    <col min="6" max="6" width="14.85546875" customWidth="1"/>
    <col min="7" max="7" width="18" customWidth="1"/>
    <col min="8" max="8" width="11" customWidth="1"/>
    <col min="9" max="9" width="13.28515625" customWidth="1"/>
    <col min="10" max="10" width="15.140625" customWidth="1"/>
    <col min="11" max="11" width="16.28515625" customWidth="1"/>
    <col min="12" max="12" width="17.5703125" customWidth="1"/>
    <col min="13" max="13" width="12.85546875" customWidth="1"/>
    <col min="14" max="14" width="21.5703125" customWidth="1"/>
  </cols>
  <sheetData>
    <row r="1" spans="1:14" s="7" customFormat="1" ht="29.25" customHeight="1" x14ac:dyDescent="0.25">
      <c r="A1" s="2072" t="s">
        <v>1065</v>
      </c>
      <c r="B1" s="2072"/>
      <c r="C1" s="2072"/>
      <c r="D1" s="2072"/>
      <c r="E1" s="2072"/>
      <c r="F1" s="2072"/>
      <c r="G1" s="2072"/>
      <c r="H1" s="2072"/>
      <c r="I1" s="2072"/>
      <c r="J1" s="2072"/>
      <c r="K1" s="2072"/>
      <c r="L1" s="2072"/>
      <c r="M1" s="2072"/>
      <c r="N1" s="6"/>
    </row>
    <row r="2" spans="1:14" s="7" customFormat="1" ht="23.25" customHeight="1" x14ac:dyDescent="0.25">
      <c r="A2" s="2072" t="s">
        <v>1482</v>
      </c>
      <c r="B2" s="2072"/>
      <c r="C2" s="2072"/>
      <c r="D2" s="2072"/>
      <c r="E2" s="2072"/>
      <c r="F2" s="2072"/>
      <c r="G2" s="2072"/>
      <c r="H2" s="2072"/>
      <c r="I2" s="2072"/>
      <c r="J2" s="2072"/>
      <c r="K2" s="2072"/>
      <c r="L2" s="2072"/>
      <c r="M2" s="2072"/>
      <c r="N2" s="6"/>
    </row>
    <row r="3" spans="1:14" s="7" customFormat="1" ht="15.75" x14ac:dyDescent="0.25">
      <c r="B3" s="8"/>
      <c r="D3" s="8"/>
      <c r="H3" s="8"/>
      <c r="J3" s="9"/>
      <c r="L3" s="43"/>
      <c r="M3" s="144"/>
      <c r="N3" s="6"/>
    </row>
    <row r="4" spans="1:14" s="7" customFormat="1" ht="31.5" x14ac:dyDescent="0.25">
      <c r="A4" s="7" t="s">
        <v>1066</v>
      </c>
      <c r="B4" s="8" t="s">
        <v>1067</v>
      </c>
      <c r="D4" s="8"/>
      <c r="H4" s="8"/>
      <c r="J4" s="9"/>
      <c r="L4" s="43"/>
      <c r="M4" s="144"/>
      <c r="N4" s="6"/>
    </row>
    <row r="5" spans="1:14" s="7" customFormat="1" ht="31.5" x14ac:dyDescent="0.25">
      <c r="A5" s="7" t="s">
        <v>1068</v>
      </c>
      <c r="B5" s="8" t="s">
        <v>1069</v>
      </c>
      <c r="D5" s="8"/>
      <c r="H5" s="8"/>
      <c r="J5" s="9"/>
      <c r="L5" s="43"/>
      <c r="M5" s="144"/>
      <c r="N5" s="6"/>
    </row>
    <row r="6" spans="1:14" s="7" customFormat="1" ht="15.75" x14ac:dyDescent="0.25">
      <c r="A6" s="7" t="s">
        <v>1070</v>
      </c>
      <c r="B6" s="8" t="s">
        <v>1071</v>
      </c>
      <c r="D6" s="8"/>
      <c r="H6" s="8"/>
      <c r="J6" s="9"/>
      <c r="L6" s="43"/>
      <c r="M6" s="144"/>
      <c r="N6" s="6"/>
    </row>
    <row r="7" spans="1:14" s="7" customFormat="1" ht="15.75" x14ac:dyDescent="0.25">
      <c r="A7" s="7" t="s">
        <v>1072</v>
      </c>
      <c r="B7" s="8" t="s">
        <v>1073</v>
      </c>
      <c r="D7" s="8"/>
      <c r="H7" s="8"/>
      <c r="J7" s="9"/>
      <c r="L7" s="43"/>
      <c r="M7" s="144"/>
      <c r="N7" s="6"/>
    </row>
    <row r="8" spans="1:14" s="7" customFormat="1" ht="63" customHeight="1" x14ac:dyDescent="0.25">
      <c r="A8" s="2106" t="s">
        <v>1039</v>
      </c>
      <c r="B8" s="2106" t="s">
        <v>1074</v>
      </c>
      <c r="C8" s="2106"/>
      <c r="D8" s="2106"/>
      <c r="E8" s="2105" t="s">
        <v>1246</v>
      </c>
      <c r="F8" s="2105" t="s">
        <v>1247</v>
      </c>
      <c r="G8" s="2105" t="s">
        <v>1248</v>
      </c>
      <c r="H8" s="2105" t="s">
        <v>1249</v>
      </c>
      <c r="I8" s="2106" t="s">
        <v>1079</v>
      </c>
      <c r="J8" s="2106"/>
      <c r="K8" s="2106"/>
      <c r="L8" s="2105" t="s">
        <v>1250</v>
      </c>
      <c r="M8" s="2105"/>
    </row>
    <row r="9" spans="1:14" s="7" customFormat="1" ht="72.75" customHeight="1" x14ac:dyDescent="0.25">
      <c r="A9" s="2106"/>
      <c r="B9" s="84" t="s">
        <v>1083</v>
      </c>
      <c r="C9" s="85" t="s">
        <v>1251</v>
      </c>
      <c r="D9" s="85" t="s">
        <v>1252</v>
      </c>
      <c r="E9" s="2105"/>
      <c r="F9" s="2105"/>
      <c r="G9" s="2105"/>
      <c r="H9" s="2105"/>
      <c r="I9" s="84" t="s">
        <v>1253</v>
      </c>
      <c r="J9" s="84" t="s">
        <v>1254</v>
      </c>
      <c r="K9" s="84" t="s">
        <v>1255</v>
      </c>
      <c r="L9" s="130" t="s">
        <v>1256</v>
      </c>
      <c r="M9" s="84" t="s">
        <v>1086</v>
      </c>
    </row>
    <row r="10" spans="1:14" s="7" customFormat="1" ht="15.75" x14ac:dyDescent="0.25">
      <c r="A10" s="13" t="s">
        <v>1087</v>
      </c>
      <c r="B10" s="13" t="s">
        <v>1088</v>
      </c>
      <c r="C10" s="13" t="s">
        <v>1089</v>
      </c>
      <c r="D10" s="13" t="s">
        <v>1090</v>
      </c>
      <c r="E10" s="10" t="s">
        <v>1091</v>
      </c>
      <c r="F10" s="13" t="s">
        <v>1092</v>
      </c>
      <c r="G10" s="14" t="s">
        <v>1093</v>
      </c>
      <c r="H10" s="13" t="s">
        <v>1094</v>
      </c>
      <c r="I10" s="13" t="s">
        <v>1095</v>
      </c>
      <c r="J10" s="13" t="s">
        <v>1096</v>
      </c>
      <c r="K10" s="13" t="s">
        <v>1097</v>
      </c>
      <c r="L10" s="90" t="s">
        <v>1098</v>
      </c>
      <c r="M10" s="13" t="s">
        <v>488</v>
      </c>
    </row>
    <row r="11" spans="1:14" ht="60" x14ac:dyDescent="0.25">
      <c r="A11" s="145">
        <v>2</v>
      </c>
      <c r="B11" s="146" t="str">
        <f>'BID II'!B1745</f>
        <v>: Pembangunan Jalan Usaha Tani (Subak Temaga Munduk Pengiu PONDASI Batu Kali)</v>
      </c>
      <c r="C11" s="150">
        <v>1</v>
      </c>
      <c r="D11" s="1008" t="str">
        <f>'BID II'!B357</f>
        <v>: Penyelenggaraan Posyandu (Pemberian PMT)</v>
      </c>
      <c r="E11" s="170" t="s">
        <v>1642</v>
      </c>
      <c r="F11" s="28"/>
      <c r="G11" s="169"/>
      <c r="H11" s="19"/>
      <c r="I11" s="19"/>
      <c r="J11" s="19"/>
      <c r="K11" s="20"/>
      <c r="L11" s="148">
        <f>'BID II'!F394</f>
        <v>387855500</v>
      </c>
      <c r="M11" s="35" t="s">
        <v>1104</v>
      </c>
    </row>
    <row r="12" spans="1:14" ht="30" x14ac:dyDescent="0.25">
      <c r="A12" s="145"/>
      <c r="B12" s="146"/>
      <c r="C12" s="150">
        <v>2</v>
      </c>
      <c r="D12" s="146" t="str">
        <f>'BID II'!B408</f>
        <v>: Penyelenggaraan POSyandu (Pos Gizi dan Ibu Hamil)</v>
      </c>
      <c r="E12" s="170" t="s">
        <v>1642</v>
      </c>
      <c r="F12" s="28"/>
      <c r="G12" s="169"/>
      <c r="H12" s="19"/>
      <c r="I12" s="19"/>
      <c r="J12" s="19"/>
      <c r="K12" s="20"/>
      <c r="L12" s="148">
        <f>'BID II'!F434</f>
        <v>3030000</v>
      </c>
      <c r="M12" s="35" t="s">
        <v>1104</v>
      </c>
    </row>
    <row r="13" spans="1:14" ht="45" x14ac:dyDescent="0.25">
      <c r="A13" s="145"/>
      <c r="B13" s="146"/>
      <c r="C13" s="150">
        <v>3</v>
      </c>
      <c r="D13" s="146" t="str">
        <f>'BID II'!B449</f>
        <v>: Penyuluhan dan Pelatihan Bidang Kesehatan (Pemberian tambahan nutrisi bagi lansia)</v>
      </c>
      <c r="E13" s="170" t="s">
        <v>1642</v>
      </c>
      <c r="F13" s="28"/>
      <c r="G13" s="169"/>
      <c r="H13" s="19"/>
      <c r="I13" s="19"/>
      <c r="J13" s="19"/>
      <c r="K13" s="20"/>
      <c r="L13" s="148">
        <f>'BID II'!F502</f>
        <v>375241500</v>
      </c>
      <c r="M13" s="35" t="s">
        <v>1104</v>
      </c>
    </row>
    <row r="14" spans="1:14" ht="30" x14ac:dyDescent="0.25">
      <c r="A14" s="1"/>
      <c r="B14" s="4"/>
      <c r="C14" s="150">
        <v>4</v>
      </c>
      <c r="D14" s="4" t="str">
        <f>'BID II'!B516</f>
        <v xml:space="preserve"> :Pendampingan calon pengantin</v>
      </c>
      <c r="E14" s="171">
        <v>3</v>
      </c>
      <c r="F14" s="28"/>
      <c r="G14" s="169"/>
      <c r="H14" s="19"/>
      <c r="I14" s="19"/>
      <c r="J14" s="19"/>
      <c r="K14" s="20"/>
      <c r="L14" s="91">
        <f>'BID II'!F545</f>
        <v>12422000</v>
      </c>
      <c r="M14" s="35" t="s">
        <v>1104</v>
      </c>
    </row>
    <row r="15" spans="1:14" ht="60" x14ac:dyDescent="0.25">
      <c r="A15" s="1"/>
      <c r="B15" s="4"/>
      <c r="C15" s="150">
        <v>5</v>
      </c>
      <c r="D15" s="4" t="str">
        <f>'BID II'!B979</f>
        <v>: Penyuluhan dan Pelatihan Bidang Kesehatan Untuk Masyarakat  (Sosialisasi Sanitasi pedagang )</v>
      </c>
      <c r="E15" s="171">
        <v>3</v>
      </c>
      <c r="F15" s="28"/>
      <c r="G15" s="169"/>
      <c r="H15" s="19"/>
      <c r="I15" s="19"/>
      <c r="J15" s="19"/>
      <c r="K15" s="20"/>
      <c r="L15" s="91">
        <f>'BID II'!F1004</f>
        <v>4633200</v>
      </c>
      <c r="M15" s="35" t="s">
        <v>1104</v>
      </c>
    </row>
    <row r="16" spans="1:14" ht="41.45" customHeight="1" x14ac:dyDescent="0.25">
      <c r="A16" s="1"/>
      <c r="B16" s="4"/>
      <c r="C16" s="150">
        <v>6</v>
      </c>
      <c r="D16" s="4" t="str">
        <f>'BID II'!B1018</f>
        <v>: Penyuluhan dan Pelatihan Bidang Kesehatan Untuk Masyarakat  (Pembinaan Kader Kesehatan Jiwa )</v>
      </c>
      <c r="E16" s="171">
        <v>3</v>
      </c>
      <c r="F16" s="28"/>
      <c r="G16" s="169"/>
      <c r="H16" s="19"/>
      <c r="I16" s="19"/>
      <c r="J16" s="19"/>
      <c r="K16" s="20"/>
      <c r="L16" s="91">
        <f>'BID II'!F1045</f>
        <v>0</v>
      </c>
      <c r="M16" s="35" t="s">
        <v>1104</v>
      </c>
    </row>
    <row r="17" spans="1:13" ht="50.45" customHeight="1" x14ac:dyDescent="0.25">
      <c r="A17" s="1"/>
      <c r="B17" s="4"/>
      <c r="C17" s="150">
        <v>7</v>
      </c>
      <c r="D17" s="4" t="str">
        <f>'BID II'!B1143</f>
        <v>:Penyelenggaraan Desa Siaga Kesehatan (Penyuluhan kesehatan keliling)</v>
      </c>
      <c r="E17" s="171">
        <v>3</v>
      </c>
      <c r="F17" s="28"/>
      <c r="G17" s="169"/>
      <c r="H17" s="19"/>
      <c r="I17" s="19"/>
      <c r="J17" s="19"/>
      <c r="K17" s="20"/>
      <c r="L17" s="91">
        <f>'BID II'!F1166</f>
        <v>13744000</v>
      </c>
      <c r="M17" s="35" t="s">
        <v>1104</v>
      </c>
    </row>
    <row r="18" spans="1:13" ht="76.5" customHeight="1" x14ac:dyDescent="0.25">
      <c r="A18" s="1"/>
      <c r="B18" s="4"/>
      <c r="C18" s="150">
        <v>8</v>
      </c>
      <c r="D18" s="4" t="str">
        <f>'BID II'!B1183</f>
        <v xml:space="preserve"> :  Pengasuhan Bersama atau Bina Keluarga Balita (Pelaksanaan Kegiatan Bina Keluarga Balita BKB )</v>
      </c>
      <c r="E18" s="171">
        <v>3</v>
      </c>
      <c r="F18" s="28"/>
      <c r="G18" s="169"/>
      <c r="H18" s="19"/>
      <c r="I18" s="19"/>
      <c r="J18" s="19"/>
      <c r="K18" s="20"/>
      <c r="L18" s="91">
        <f>'BID II'!F1209</f>
        <v>83212900</v>
      </c>
      <c r="M18" s="35" t="s">
        <v>1104</v>
      </c>
    </row>
    <row r="19" spans="1:13" ht="45" x14ac:dyDescent="0.25">
      <c r="A19" s="1" t="s">
        <v>474</v>
      </c>
      <c r="B19" s="4"/>
      <c r="C19" s="150">
        <v>9</v>
      </c>
      <c r="D19" s="4" t="str">
        <f>'BID II'!B1223</f>
        <v xml:space="preserve"> :  Pengasuhan Bersama atau Bina Keluarga Lansia (Penyelenggaraan BKL)</v>
      </c>
      <c r="E19" s="171">
        <v>3</v>
      </c>
      <c r="F19" s="28"/>
      <c r="G19" s="169"/>
      <c r="H19" s="19"/>
      <c r="I19" s="19"/>
      <c r="J19" s="19"/>
      <c r="K19" s="20"/>
      <c r="L19" s="91">
        <f>'BID II'!F1247</f>
        <v>14133000</v>
      </c>
      <c r="M19" s="35" t="s">
        <v>1104</v>
      </c>
    </row>
    <row r="20" spans="1:13" ht="54.6" customHeight="1" x14ac:dyDescent="0.25">
      <c r="A20" s="1"/>
      <c r="B20" s="4"/>
      <c r="C20" s="150">
        <v>10</v>
      </c>
      <c r="D20" s="4" t="str">
        <f>'BID II'!B1295</f>
        <v xml:space="preserve"> :  Pengasuhan Bersama atau Bina Keluarga Remaja (Penyelenggaraan BKR)</v>
      </c>
      <c r="E20" s="171">
        <v>3</v>
      </c>
      <c r="F20" s="28"/>
      <c r="G20" s="169"/>
      <c r="H20" s="19"/>
      <c r="I20" s="19"/>
      <c r="J20" s="20"/>
      <c r="K20" s="20"/>
      <c r="L20" s="91">
        <f>'BID II'!F1316</f>
        <v>14010000</v>
      </c>
      <c r="M20" s="35" t="s">
        <v>1104</v>
      </c>
    </row>
    <row r="21" spans="1:13" ht="38.450000000000003" customHeight="1" x14ac:dyDescent="0.25">
      <c r="A21" s="1"/>
      <c r="B21" s="4"/>
      <c r="C21" s="150">
        <v>11</v>
      </c>
      <c r="D21" s="4" t="str">
        <f>'BID II'!B1463</f>
        <v>: Rembuk Stunting</v>
      </c>
      <c r="E21" s="171">
        <v>3</v>
      </c>
      <c r="F21" s="28"/>
      <c r="G21" s="169"/>
      <c r="H21" s="19"/>
      <c r="I21" s="19"/>
      <c r="J21" s="20"/>
      <c r="K21" s="20"/>
      <c r="L21" s="91">
        <f>'BID II'!F1485</f>
        <v>2894687.09</v>
      </c>
      <c r="M21" s="35" t="s">
        <v>1104</v>
      </c>
    </row>
    <row r="22" spans="1:13" ht="36" customHeight="1" x14ac:dyDescent="0.25">
      <c r="A22" s="1"/>
      <c r="B22" s="4"/>
      <c r="C22" s="150">
        <v>12</v>
      </c>
      <c r="D22" s="4" t="str">
        <f>'BID II'!B1499</f>
        <v>: Penyelenggaraan Posyandu Remaja</v>
      </c>
      <c r="E22" s="171">
        <v>3</v>
      </c>
      <c r="F22" s="28"/>
      <c r="G22" s="169"/>
      <c r="H22" s="19"/>
      <c r="I22" s="19"/>
      <c r="J22" s="19"/>
      <c r="K22" s="20"/>
      <c r="L22" s="91">
        <f>'BID II'!F1529</f>
        <v>61113400</v>
      </c>
      <c r="M22" s="35" t="s">
        <v>1104</v>
      </c>
    </row>
    <row r="23" spans="1:13" ht="53.45" customHeight="1" x14ac:dyDescent="0.25">
      <c r="A23" s="1"/>
      <c r="B23" s="4"/>
      <c r="C23" s="150">
        <v>13</v>
      </c>
      <c r="D23" s="4" t="str">
        <f>'BID II'!B678</f>
        <v>: Penyuluhan dan Pelatihan Bidang Kesehatan (Penyuluhan Narkoba dan HIV/AIDS)</v>
      </c>
      <c r="E23" s="171"/>
      <c r="F23" s="28"/>
      <c r="G23" s="169"/>
      <c r="H23" s="19"/>
      <c r="I23" s="19"/>
      <c r="J23" s="19"/>
      <c r="K23" s="20"/>
      <c r="L23" s="91">
        <f>'BID II'!F714</f>
        <v>17180000</v>
      </c>
      <c r="M23" s="35" t="s">
        <v>1104</v>
      </c>
    </row>
    <row r="24" spans="1:13" ht="42.75" customHeight="1" thickBot="1" x14ac:dyDescent="0.3">
      <c r="A24" s="4"/>
      <c r="B24" s="4"/>
      <c r="C24" s="150">
        <v>14</v>
      </c>
      <c r="D24" s="4" t="str">
        <f>'BID II'!B762</f>
        <v>: Penyuluhan dan Pelatihan Bidang Kesehatan ( Penyuluhan KB )</v>
      </c>
      <c r="E24" s="171">
        <v>3</v>
      </c>
      <c r="F24" s="28"/>
      <c r="G24" s="169"/>
      <c r="H24" s="19"/>
      <c r="I24" s="19"/>
      <c r="J24" s="19"/>
      <c r="K24" s="20"/>
      <c r="L24" s="147">
        <f>'BID II'!F791</f>
        <v>17990000</v>
      </c>
      <c r="M24" s="35" t="s">
        <v>1104</v>
      </c>
    </row>
    <row r="25" spans="1:13" x14ac:dyDescent="0.25">
      <c r="A25" s="2078" t="s">
        <v>1479</v>
      </c>
      <c r="B25" s="2079"/>
      <c r="C25" s="2079"/>
      <c r="D25" s="2079"/>
      <c r="E25" s="2079"/>
      <c r="F25" s="2079"/>
      <c r="G25" s="2079"/>
      <c r="H25" s="2079"/>
      <c r="I25" s="2079"/>
      <c r="J25" s="2079"/>
      <c r="K25" s="2080"/>
      <c r="L25" s="149">
        <f>SUM(L11:L24)</f>
        <v>1007460187.09</v>
      </c>
      <c r="M25" s="166"/>
    </row>
    <row r="26" spans="1:13" x14ac:dyDescent="0.25">
      <c r="A26" s="1"/>
      <c r="B26" s="4"/>
      <c r="C26" s="1"/>
      <c r="D26" s="4"/>
      <c r="E26" s="1"/>
      <c r="F26" s="1"/>
      <c r="G26" s="1"/>
      <c r="H26" s="1"/>
      <c r="I26" s="1"/>
      <c r="J26" s="1"/>
      <c r="K26" s="1"/>
      <c r="L26" s="91"/>
      <c r="M26" s="35"/>
    </row>
    <row r="27" spans="1:13" ht="60" x14ac:dyDescent="0.25">
      <c r="A27" s="1"/>
      <c r="B27" s="4" t="s">
        <v>441</v>
      </c>
      <c r="C27" s="34">
        <v>1</v>
      </c>
      <c r="D27" s="147" t="e">
        <f>'BID IV'!#REF!</f>
        <v>#REF!</v>
      </c>
      <c r="E27" s="1"/>
      <c r="F27" s="1"/>
      <c r="G27" s="165">
        <v>1</v>
      </c>
      <c r="H27" s="4" t="s">
        <v>1102</v>
      </c>
      <c r="I27" s="1"/>
      <c r="J27" s="1"/>
      <c r="K27" s="1"/>
      <c r="L27" s="91" t="e">
        <f>'BID IV'!#REF!</f>
        <v>#REF!</v>
      </c>
      <c r="M27" s="35" t="s">
        <v>1104</v>
      </c>
    </row>
    <row r="28" spans="1:13" ht="43.5" customHeight="1" thickBot="1" x14ac:dyDescent="0.3">
      <c r="A28" s="1"/>
      <c r="B28" s="4"/>
      <c r="C28" s="34">
        <v>2</v>
      </c>
      <c r="D28" s="147" t="str">
        <f>'BID IV'!B7</f>
        <v xml:space="preserve">: (Ketahanan Pangan) Pelatihan Budidaya Maggot Black Soldier Fly (BSF) </v>
      </c>
      <c r="E28" s="1"/>
      <c r="F28" s="1"/>
      <c r="G28" s="165">
        <v>1</v>
      </c>
      <c r="H28" s="4" t="s">
        <v>1102</v>
      </c>
      <c r="I28" s="1"/>
      <c r="J28" s="1"/>
      <c r="K28" s="1"/>
      <c r="L28" s="91">
        <f>'BID IV'!F48</f>
        <v>14791000</v>
      </c>
      <c r="M28" s="35" t="s">
        <v>1104</v>
      </c>
    </row>
    <row r="29" spans="1:13" ht="15.75" thickBot="1" x14ac:dyDescent="0.3">
      <c r="A29" s="2078" t="s">
        <v>1481</v>
      </c>
      <c r="B29" s="2079"/>
      <c r="C29" s="2079"/>
      <c r="D29" s="2079"/>
      <c r="E29" s="2079"/>
      <c r="F29" s="2079"/>
      <c r="G29" s="2079"/>
      <c r="H29" s="2079"/>
      <c r="I29" s="2079"/>
      <c r="J29" s="2079"/>
      <c r="K29" s="2080"/>
      <c r="L29" s="149" t="e">
        <f>SUM(L27:L28)</f>
        <v>#REF!</v>
      </c>
      <c r="M29" s="167"/>
    </row>
    <row r="30" spans="1:13" ht="15.75" thickBot="1" x14ac:dyDescent="0.3">
      <c r="A30" s="2075" t="s">
        <v>1284</v>
      </c>
      <c r="B30" s="2076"/>
      <c r="C30" s="2076"/>
      <c r="D30" s="2076"/>
      <c r="E30" s="2076"/>
      <c r="F30" s="2076"/>
      <c r="G30" s="2076"/>
      <c r="H30" s="2076"/>
      <c r="I30" s="2076"/>
      <c r="J30" s="2076"/>
      <c r="K30" s="2076"/>
      <c r="L30" s="151" t="e">
        <f>L29+L25</f>
        <v>#REF!</v>
      </c>
      <c r="M30" s="168"/>
    </row>
    <row r="31" spans="1:13" x14ac:dyDescent="0.25">
      <c r="K31" t="s">
        <v>1768</v>
      </c>
      <c r="L31" s="83">
        <v>897307000</v>
      </c>
    </row>
    <row r="32" spans="1:13" x14ac:dyDescent="0.25">
      <c r="L32" s="32" t="e">
        <f>L31-L30</f>
        <v>#REF!</v>
      </c>
    </row>
  </sheetData>
  <mergeCells count="13">
    <mergeCell ref="A25:K25"/>
    <mergeCell ref="A29:K29"/>
    <mergeCell ref="A30:K30"/>
    <mergeCell ref="A8:A9"/>
    <mergeCell ref="B8:D8"/>
    <mergeCell ref="E8:E9"/>
    <mergeCell ref="F8:F9"/>
    <mergeCell ref="G8:G9"/>
    <mergeCell ref="A1:M1"/>
    <mergeCell ref="A2:M2"/>
    <mergeCell ref="H8:H9"/>
    <mergeCell ref="I8:K8"/>
    <mergeCell ref="L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8"/>
  <sheetViews>
    <sheetView zoomScale="120" zoomScaleNormal="120" workbookViewId="0">
      <selection activeCell="M5" sqref="M5"/>
    </sheetView>
  </sheetViews>
  <sheetFormatPr defaultColWidth="8.7109375" defaultRowHeight="15" x14ac:dyDescent="0.25"/>
  <cols>
    <col min="1" max="1" width="8.7109375" style="1009"/>
    <col min="2" max="2" width="15.5703125" style="1009" customWidth="1"/>
    <col min="3" max="4" width="8.7109375" style="1009"/>
    <col min="5" max="5" width="17.85546875" style="1009" customWidth="1"/>
    <col min="6" max="6" width="17.7109375" style="1009" customWidth="1"/>
    <col min="7" max="8" width="24.140625" style="1009" customWidth="1"/>
    <col min="9" max="10" width="25.28515625" style="1011" customWidth="1"/>
    <col min="11" max="11" width="23.140625" style="1009" customWidth="1"/>
    <col min="12" max="12" width="20.85546875" style="1009" customWidth="1"/>
    <col min="13" max="13" width="23.5703125" style="1009" customWidth="1"/>
    <col min="14" max="14" width="17" style="1009" customWidth="1"/>
    <col min="15" max="15" width="15.85546875" style="1009" customWidth="1"/>
    <col min="16" max="17" width="16.42578125" style="1009" customWidth="1"/>
    <col min="18" max="18" width="15.7109375" style="1009" customWidth="1"/>
    <col min="19" max="19" width="14" style="1009" customWidth="1"/>
    <col min="20" max="20" width="15.140625" style="1009" customWidth="1"/>
    <col min="21" max="21" width="14.5703125" style="1009" bestFit="1" customWidth="1"/>
    <col min="22" max="22" width="14.5703125" style="1009" customWidth="1"/>
    <col min="23" max="23" width="14.28515625" style="1009" bestFit="1" customWidth="1"/>
    <col min="24" max="24" width="8.7109375" style="1009"/>
    <col min="25" max="25" width="16.85546875" style="1009" bestFit="1" customWidth="1"/>
    <col min="26" max="26" width="20.85546875" style="1009" customWidth="1"/>
    <col min="27" max="27" width="16.42578125" style="1009" customWidth="1"/>
    <col min="28" max="16384" width="8.7109375" style="1009"/>
  </cols>
  <sheetData>
    <row r="1" spans="1:27" x14ac:dyDescent="0.25">
      <c r="E1" s="1010"/>
      <c r="N1" s="1010"/>
      <c r="U1" s="1010"/>
    </row>
    <row r="2" spans="1:27" x14ac:dyDescent="0.25">
      <c r="G2" s="1009" t="s">
        <v>2435</v>
      </c>
      <c r="H2" s="2107" t="s">
        <v>2436</v>
      </c>
      <c r="I2" s="2107"/>
      <c r="J2" s="1029"/>
      <c r="K2" s="1011" t="s">
        <v>1364</v>
      </c>
      <c r="L2" s="1012" t="s">
        <v>1365</v>
      </c>
    </row>
    <row r="3" spans="1:27" x14ac:dyDescent="0.25">
      <c r="G3" s="1016">
        <f>'RKP2025'!L47</f>
        <v>3714259341.9499998</v>
      </c>
      <c r="H3" s="1029"/>
      <c r="I3" s="1033">
        <f>+SUM(I5:I50)</f>
        <v>2634002491.0699997</v>
      </c>
      <c r="J3" s="1033"/>
      <c r="K3" s="1011" t="e">
        <f>SUM(K4:K5)</f>
        <v>#REF!</v>
      </c>
      <c r="L3" s="1016" t="e">
        <f>'RKP2025'!L177</f>
        <v>#REF!</v>
      </c>
      <c r="M3" s="1016" t="e">
        <f>SUM(G3:L3)</f>
        <v>#REF!</v>
      </c>
      <c r="N3" s="1016" t="e">
        <f>B19-M3</f>
        <v>#REF!</v>
      </c>
    </row>
    <row r="4" spans="1:27" x14ac:dyDescent="0.25">
      <c r="H4" s="1009" t="s">
        <v>2437</v>
      </c>
      <c r="I4" s="1011" t="s">
        <v>2438</v>
      </c>
      <c r="J4" s="1011" t="s">
        <v>2441</v>
      </c>
      <c r="K4" s="1011">
        <f>'BID III'!F1038+'BID III'!F1066+'BID III'!F1103+'BID III'!F1142+'BID III'!F1167+'BID III'!F1200+'BID III'!F1242+'BID III'!F1274+'BID III'!F1305+'BID III'!F1332+'BID III'!F1357+'BID III'!F1384+'BID III'!F1410+'BID III'!F1436+'BID III'!F1463+'BID III'!F1492</f>
        <v>0</v>
      </c>
      <c r="L4" s="1012"/>
    </row>
    <row r="5" spans="1:27" ht="90" x14ac:dyDescent="0.25">
      <c r="H5" s="1020" t="str">
        <f>'BID II'!B7</f>
        <v>Penyelenggaraan PAUD/TK/TKA/ Madrasah Non Formal Milik Desa (Pengelolaan Taman Kanak - kanak  TK Kumara Sari VI )</v>
      </c>
      <c r="I5" s="1011">
        <f>'BID II'!F157</f>
        <v>345561246.18000001</v>
      </c>
      <c r="J5" s="1030" t="s">
        <v>2442</v>
      </c>
      <c r="K5" s="1011" t="e">
        <f>'BID III'!F1522+'BID III'!F1549+'BID III'!#REF!</f>
        <v>#REF!</v>
      </c>
      <c r="L5" s="1012"/>
    </row>
    <row r="6" spans="1:27" ht="90" x14ac:dyDescent="0.25">
      <c r="H6" s="1020" t="str">
        <f>'BID II'!B170</f>
        <v>: Pembinaan atau Pelatihan Kelompok Belajar Widya Kumara Bhuwana ( Pelatihan Bahasa dan Aksara Bali Untuk Anak-Anak SD )</v>
      </c>
      <c r="I6" s="1011">
        <f>'BID II'!F195</f>
        <v>14608687.09</v>
      </c>
      <c r="J6" s="1030" t="str">
        <f>'BID III'!B7</f>
        <v>:Koordinasi Pembinaan Ketentraman, Ketertiban, dan Perlindungan Masyarakat (Pengamanan Pengerupukan)</v>
      </c>
      <c r="K6" s="1011"/>
      <c r="L6" s="1012"/>
    </row>
    <row r="7" spans="1:27" ht="90" x14ac:dyDescent="0.25">
      <c r="H7" s="1020" t="str">
        <f>'BID II'!B208</f>
        <v>Penyuluhan dan Pelatihan Pendidikan bagi Masyarakat (Pembinaan dan Lomba Mewarnai Anak - Anak TK)</v>
      </c>
      <c r="I7" s="1011">
        <f>'BID II'!F236</f>
        <v>9180000</v>
      </c>
      <c r="K7" s="1011"/>
      <c r="L7" s="1012"/>
    </row>
    <row r="8" spans="1:27" ht="90" x14ac:dyDescent="0.25">
      <c r="H8" s="1020" t="str">
        <f>'BID II'!B249</f>
        <v>: Penyuluhan dan Pelatihan Pendidikan Bagi Masyarakat ( Pembinaan dan Penyelenggaraan Bunda Literasi )</v>
      </c>
      <c r="I8" s="1011">
        <f>'BID II'!F273</f>
        <v>14178000</v>
      </c>
      <c r="K8" s="1011"/>
      <c r="L8" s="1012"/>
    </row>
    <row r="9" spans="1:27" ht="105" x14ac:dyDescent="0.25">
      <c r="H9" s="1020" t="str">
        <f>'BID II'!B322</f>
        <v>:Peningkatan Sarana Prasarana Perpustakaan/Taman Bacaan Desa/ Sanggar Belajar Milik Desa (Perpustakaan Digital dan keliling)</v>
      </c>
      <c r="I9" s="1011">
        <f>'BID II'!F344</f>
        <v>21000000</v>
      </c>
      <c r="K9" s="1011"/>
      <c r="L9" s="1012"/>
    </row>
    <row r="10" spans="1:27" ht="45" x14ac:dyDescent="0.25">
      <c r="H10" s="1020" t="str">
        <f>'BID II'!B357</f>
        <v>: Penyelenggaraan Posyandu (Pemberian PMT)</v>
      </c>
      <c r="I10" s="1011">
        <f>'BID II'!F394</f>
        <v>387855500</v>
      </c>
      <c r="K10" s="1011"/>
      <c r="L10" s="1012"/>
    </row>
    <row r="11" spans="1:27" ht="45" x14ac:dyDescent="0.25">
      <c r="H11" s="1020" t="str">
        <f>'BID II'!B408</f>
        <v>: Penyelenggaraan POSyandu (Pos Gizi dan Ibu Hamil)</v>
      </c>
      <c r="I11" s="1011">
        <f>'BID II'!F434</f>
        <v>3030000</v>
      </c>
      <c r="K11" s="1011"/>
      <c r="L11" s="1012"/>
    </row>
    <row r="12" spans="1:27" ht="75" x14ac:dyDescent="0.25">
      <c r="B12" s="1011"/>
      <c r="E12" s="1013"/>
      <c r="F12" s="1013"/>
      <c r="G12" s="1013"/>
      <c r="H12" s="1031" t="str">
        <f>'BID II'!B449</f>
        <v>: Penyuluhan dan Pelatihan Bidang Kesehatan (Pemberian tambahan nutrisi bagi lansia)</v>
      </c>
      <c r="I12" s="1011">
        <f>'BID II'!F502</f>
        <v>375241500</v>
      </c>
      <c r="K12" s="1013"/>
      <c r="L12" s="1013"/>
      <c r="M12" s="1013"/>
      <c r="N12" s="1013"/>
      <c r="O12" s="1013"/>
      <c r="P12" s="1013"/>
      <c r="Q12" s="1013"/>
      <c r="R12" s="1013"/>
      <c r="S12" s="1013"/>
      <c r="T12" s="1013"/>
      <c r="U12" s="1014"/>
      <c r="V12" s="1014"/>
      <c r="W12" s="1014"/>
      <c r="Y12" s="1010"/>
    </row>
    <row r="13" spans="1:27" x14ac:dyDescent="0.25">
      <c r="A13" s="1009" t="s">
        <v>1410</v>
      </c>
      <c r="B13" s="1011">
        <v>897307000</v>
      </c>
      <c r="F13" s="1026">
        <f>B19</f>
        <v>7764895638</v>
      </c>
      <c r="H13" s="1016" t="str">
        <f>'BID II'!B516</f>
        <v xml:space="preserve"> :Pendampingan calon pengantin</v>
      </c>
      <c r="I13" s="1011">
        <f>'BID II'!F545</f>
        <v>12422000</v>
      </c>
      <c r="M13" s="1016" t="e">
        <f>F13-G3-I13-K13-L3</f>
        <v>#REF!</v>
      </c>
    </row>
    <row r="14" spans="1:27" ht="90" x14ac:dyDescent="0.25">
      <c r="B14" s="1011">
        <v>2814314395</v>
      </c>
      <c r="E14" s="1015"/>
      <c r="F14" s="1015"/>
      <c r="G14" s="1015"/>
      <c r="H14" s="1032" t="str">
        <f>'BID II'!B558</f>
        <v>: Penyuluhan dan Pelatihan Bidang Kesehatan untuk Masyarakat (Pembinaan Kampung Keluarga Berkualitas)</v>
      </c>
      <c r="I14" s="1011">
        <f>'BID II'!F584</f>
        <v>2543600</v>
      </c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3"/>
      <c r="AA14" s="1016"/>
    </row>
    <row r="15" spans="1:27" ht="45" x14ac:dyDescent="0.25">
      <c r="B15" s="1011">
        <v>2512543792</v>
      </c>
      <c r="E15" s="1015"/>
      <c r="F15" s="1015"/>
      <c r="G15" s="1015"/>
      <c r="H15" s="1032" t="str">
        <f>'BID II'!B597</f>
        <v>Penyuluhan dan Pelatihan Bidang Kesehatan (PHBS)</v>
      </c>
      <c r="I15" s="1011">
        <f>'BID II'!F626</f>
        <v>15180000</v>
      </c>
      <c r="K15" s="1015"/>
      <c r="L15" s="1015"/>
      <c r="M15" s="1015"/>
      <c r="N15" s="1015"/>
      <c r="O15" s="1015"/>
      <c r="P15" s="1015"/>
      <c r="Q15" s="1015"/>
      <c r="R15" s="1015"/>
      <c r="S15" s="1015"/>
      <c r="T15" s="1015"/>
      <c r="U15" s="1015"/>
      <c r="V15" s="1015"/>
      <c r="W15" s="1015"/>
      <c r="Y15" s="1014"/>
      <c r="Z15" s="1013"/>
      <c r="AA15" s="1016"/>
    </row>
    <row r="16" spans="1:27" ht="75" x14ac:dyDescent="0.25">
      <c r="A16" s="1009" t="s">
        <v>1417</v>
      </c>
      <c r="B16" s="1011">
        <v>300000000</v>
      </c>
      <c r="E16" s="1015"/>
      <c r="F16" s="1015"/>
      <c r="G16" s="1015"/>
      <c r="H16" s="1032" t="str">
        <f>'BID II'!B639</f>
        <v>: Penyuluhan dan Pelatihan Bidang Kesehatan (Pembinaan Kader POSyandu terintegrasi/ILP)</v>
      </c>
      <c r="I16" s="1011">
        <f>'BID II'!F666</f>
        <v>68234000</v>
      </c>
      <c r="K16" s="1015"/>
      <c r="L16" s="1015"/>
      <c r="M16" s="1015"/>
      <c r="N16" s="1015"/>
      <c r="O16" s="1015"/>
      <c r="P16" s="1015"/>
      <c r="Q16" s="1015"/>
      <c r="R16" s="1015"/>
      <c r="S16" s="1015"/>
      <c r="T16" s="1015"/>
      <c r="U16" s="1015"/>
      <c r="V16" s="1015"/>
      <c r="W16" s="1015"/>
      <c r="Y16" s="1014"/>
      <c r="Z16" s="1013"/>
      <c r="AA16" s="1016"/>
    </row>
    <row r="17" spans="1:27" ht="60" x14ac:dyDescent="0.25">
      <c r="B17" s="1011">
        <v>40730451</v>
      </c>
      <c r="E17" s="1015"/>
      <c r="F17" s="1015"/>
      <c r="G17" s="1015"/>
      <c r="H17" s="1032" t="str">
        <f>'BID II'!B678</f>
        <v>: Penyuluhan dan Pelatihan Bidang Kesehatan (Penyuluhan Narkoba dan HIV/AIDS)</v>
      </c>
      <c r="I17" s="1011">
        <f>'BID II'!F714</f>
        <v>17180000</v>
      </c>
      <c r="K17" s="1015"/>
      <c r="L17" s="1015"/>
      <c r="M17" s="1015"/>
      <c r="N17" s="1015"/>
      <c r="O17" s="1015"/>
      <c r="P17" s="1015"/>
      <c r="Q17" s="1015"/>
      <c r="R17" s="1015"/>
      <c r="S17" s="1015"/>
      <c r="T17" s="1015"/>
      <c r="U17" s="1015"/>
      <c r="V17" s="1015"/>
      <c r="W17" s="1015"/>
      <c r="Y17" s="1014"/>
      <c r="Z17" s="1016"/>
      <c r="AA17" s="1016"/>
    </row>
    <row r="18" spans="1:27" ht="45" x14ac:dyDescent="0.25">
      <c r="A18" s="1009" t="s">
        <v>2440</v>
      </c>
      <c r="B18" s="1011">
        <v>1200000000</v>
      </c>
      <c r="E18" s="1015"/>
      <c r="F18" s="1015"/>
      <c r="G18" s="1015"/>
      <c r="H18" s="1032" t="str">
        <f>'BID II'!B729</f>
        <v>: Penyuluhan dan Pelatihan Bidang Kesehatan (Posbindu)</v>
      </c>
      <c r="I18" s="1011">
        <f>'BID II'!F748</f>
        <v>14370000</v>
      </c>
      <c r="K18" s="1015"/>
      <c r="L18" s="1015"/>
      <c r="M18" s="1015"/>
      <c r="N18" s="1015"/>
      <c r="O18" s="1015"/>
      <c r="P18" s="1015"/>
      <c r="Q18" s="1015"/>
      <c r="R18" s="1015"/>
      <c r="S18" s="1015"/>
      <c r="T18" s="1015"/>
      <c r="U18" s="1015"/>
      <c r="V18" s="1015"/>
      <c r="W18" s="1015"/>
      <c r="Y18" s="1014"/>
      <c r="Z18" s="1016"/>
      <c r="AA18" s="1016"/>
    </row>
    <row r="19" spans="1:27" ht="60" x14ac:dyDescent="0.25">
      <c r="B19" s="1025">
        <f>SUM(B13:B18)</f>
        <v>7764895638</v>
      </c>
      <c r="E19" s="1010"/>
      <c r="H19" s="1020" t="str">
        <f>'BID II'!B762</f>
        <v>: Penyuluhan dan Pelatihan Bidang Kesehatan ( Penyuluhan KB )</v>
      </c>
      <c r="I19" s="1011">
        <f>'BID II'!F791</f>
        <v>17990000</v>
      </c>
      <c r="Y19" s="1014"/>
      <c r="Z19" s="1013"/>
      <c r="AA19" s="1016"/>
    </row>
    <row r="20" spans="1:27" ht="60" x14ac:dyDescent="0.25">
      <c r="E20" s="1015"/>
      <c r="F20" s="1015"/>
      <c r="G20" s="1015"/>
      <c r="H20" s="1032" t="str">
        <f>'BID II'!B805</f>
        <v>: Penyuluhan dan Pelatihan Bidang Kesehatan(Sosialisasi Germas)</v>
      </c>
      <c r="K20" s="1015"/>
      <c r="L20" s="1015"/>
      <c r="M20" s="1015"/>
      <c r="N20" s="1015"/>
      <c r="O20" s="1015"/>
      <c r="P20" s="1015"/>
      <c r="Q20" s="1015"/>
      <c r="R20" s="1015"/>
      <c r="S20" s="1015"/>
      <c r="T20" s="1015"/>
      <c r="U20" s="1015"/>
      <c r="V20" s="1015"/>
      <c r="W20" s="1015"/>
      <c r="Y20" s="1014"/>
      <c r="Z20" s="1013"/>
      <c r="AA20" s="1016"/>
    </row>
    <row r="21" spans="1:27" x14ac:dyDescent="0.25">
      <c r="E21" s="1014"/>
      <c r="F21" s="1014"/>
      <c r="G21" s="1014"/>
      <c r="H21" s="1014"/>
      <c r="K21" s="1014"/>
      <c r="L21" s="1014"/>
      <c r="M21" s="1014"/>
      <c r="N21" s="1014"/>
      <c r="O21" s="1014"/>
      <c r="P21" s="1014"/>
      <c r="Q21" s="1014"/>
      <c r="R21" s="1014"/>
      <c r="S21" s="1017"/>
      <c r="T21" s="1014"/>
      <c r="U21" s="1014"/>
      <c r="V21" s="1014"/>
      <c r="W21" s="1014"/>
      <c r="Y21" s="1014"/>
    </row>
    <row r="22" spans="1:27" x14ac:dyDescent="0.25">
      <c r="E22" s="1010"/>
      <c r="F22" s="1018"/>
      <c r="G22" s="1010"/>
      <c r="H22" s="1010" t="s">
        <v>2439</v>
      </c>
      <c r="I22" s="1011">
        <f>'BID II'!F2135+'BID II'!F2164+'BID II'!F2216+'BID II'!F2266+'BID II'!F2307+'BID II'!F2349+'BID II'!F2395+'BID II'!F2440+'BID II'!F2489+'BID II'!F2539</f>
        <v>146122706</v>
      </c>
      <c r="N22" s="1010"/>
      <c r="P22" s="1010"/>
      <c r="Q22" s="1010"/>
      <c r="U22" s="1016"/>
      <c r="V22" s="1016"/>
      <c r="Y22" s="1016"/>
    </row>
    <row r="23" spans="1:27" ht="105" x14ac:dyDescent="0.25">
      <c r="E23" s="1010"/>
      <c r="F23" s="1010"/>
      <c r="G23" s="1019"/>
      <c r="H23" s="1034" t="str">
        <f>'BID II'!B836</f>
        <v>:Penyuluhan dan Pelatihan Bidang Kesehatan Untuk Masyarakat (Penyelenggaraan Pembinaan dan Lomba PMT)</v>
      </c>
      <c r="I23" s="1011">
        <f>'BID II'!F886</f>
        <v>11391000</v>
      </c>
      <c r="N23" s="1015"/>
      <c r="O23" s="1016"/>
      <c r="P23" s="1016"/>
      <c r="Y23" s="1010"/>
    </row>
    <row r="24" spans="1:27" ht="120" x14ac:dyDescent="0.25">
      <c r="E24" s="1010"/>
      <c r="F24" s="1014"/>
      <c r="G24" s="1010"/>
      <c r="H24" s="1035" t="str">
        <f>'BID II'!B899</f>
        <v>: Penyuluhan dan Pelatihan Bidang Kesehatan untuk Masyarakat (Penyuluhan kesehatan Organ Reproduksi dan Penyelenggaraan Papsmear)</v>
      </c>
      <c r="I24" s="1011">
        <f>'BID II'!F924</f>
        <v>7480000</v>
      </c>
      <c r="K24" s="1014"/>
      <c r="N24" s="1010"/>
      <c r="O24" s="1015"/>
    </row>
    <row r="25" spans="1:27" ht="75" x14ac:dyDescent="0.25">
      <c r="E25" s="1020"/>
      <c r="F25" s="1010"/>
      <c r="H25" s="1020" t="str">
        <f>'BID II'!B938</f>
        <v>: Penyuluhan dan Pelatihan Bidang Kesehatan untuk Masyarakat  (Pembinaan Rumah Dataku)</v>
      </c>
      <c r="I25" s="1011">
        <f>'BID II'!F965</f>
        <v>1550000</v>
      </c>
      <c r="K25" s="1010"/>
      <c r="N25" s="1010"/>
      <c r="O25" s="1010"/>
      <c r="P25" s="1010"/>
      <c r="T25" s="1010"/>
    </row>
    <row r="26" spans="1:27" ht="75" x14ac:dyDescent="0.25">
      <c r="E26" s="1021"/>
      <c r="F26" s="1010"/>
      <c r="H26" s="1020" t="str">
        <f>'BID II'!B979</f>
        <v>: Penyuluhan dan Pelatihan Bidang Kesehatan Untuk Masyarakat  (Sosialisasi Sanitasi pedagang )</v>
      </c>
      <c r="I26" s="1011">
        <f>'BID II'!F1004</f>
        <v>4633200</v>
      </c>
      <c r="M26" s="1015"/>
    </row>
    <row r="27" spans="1:27" ht="75" x14ac:dyDescent="0.25">
      <c r="H27" s="1020" t="str">
        <f>'BID II'!B1018</f>
        <v>: Penyuluhan dan Pelatihan Bidang Kesehatan Untuk Masyarakat  (Pembinaan Kader Kesehatan Jiwa )</v>
      </c>
      <c r="I27" s="1030">
        <f>'BID II'!F1045</f>
        <v>0</v>
      </c>
      <c r="J27" s="1030"/>
      <c r="K27" s="1010"/>
      <c r="M27" s="1010"/>
      <c r="Y27" s="1015"/>
    </row>
    <row r="28" spans="1:27" ht="60" x14ac:dyDescent="0.25">
      <c r="E28" s="1020"/>
      <c r="F28" s="1022"/>
      <c r="H28" s="1020" t="str">
        <f>'BID II'!B1059</f>
        <v>: Penyuluhan dan Pelatihan Bidang Kesehatan (Desa Siaga Kesehatan)</v>
      </c>
      <c r="I28" s="1011">
        <f>'BID II'!F1091</f>
        <v>1669600</v>
      </c>
    </row>
    <row r="29" spans="1:27" ht="0.75" customHeight="1" x14ac:dyDescent="0.25">
      <c r="E29" s="1020"/>
      <c r="F29" s="1022"/>
    </row>
    <row r="30" spans="1:27" ht="60" x14ac:dyDescent="0.25">
      <c r="E30" s="1020"/>
      <c r="F30" s="1022"/>
      <c r="H30" s="1020" t="str">
        <f>'BID II'!B1105</f>
        <v>: Penyuluhan dan Pelatihan Bidang Kesehatan ( Sosialisasi anjing rabies)</v>
      </c>
      <c r="I30" s="1011">
        <f>'BID II'!F1127</f>
        <v>1030000</v>
      </c>
    </row>
    <row r="31" spans="1:27" ht="60" x14ac:dyDescent="0.25">
      <c r="E31" s="1020"/>
      <c r="F31" s="1010"/>
      <c r="H31" s="1020" t="str">
        <f>'BID II'!B1143</f>
        <v>:Penyelenggaraan Desa Siaga Kesehatan (Penyuluhan kesehatan keliling)</v>
      </c>
      <c r="I31" s="1011">
        <f>'BID II'!F1166</f>
        <v>13744000</v>
      </c>
    </row>
    <row r="32" spans="1:27" ht="42.6" customHeight="1" x14ac:dyDescent="0.25">
      <c r="E32" s="1020"/>
      <c r="F32" s="1022"/>
      <c r="H32" s="1020" t="str">
        <f>'BID II'!B1183</f>
        <v xml:space="preserve"> :  Pengasuhan Bersama atau Bina Keluarga Balita (Pelaksanaan Kegiatan Bina Keluarga Balita BKB )</v>
      </c>
      <c r="I32" s="1011">
        <f>'BID II'!F1209</f>
        <v>83212900</v>
      </c>
    </row>
    <row r="33" spans="5:16" ht="42" customHeight="1" x14ac:dyDescent="0.25">
      <c r="E33" s="1020"/>
      <c r="F33" s="1022"/>
      <c r="H33" s="1020" t="str">
        <f>'BID II'!B1223</f>
        <v xml:space="preserve"> :  Pengasuhan Bersama atau Bina Keluarga Lansia (Penyelenggaraan BKL)</v>
      </c>
      <c r="I33" s="1011">
        <f>'BID II'!F1247</f>
        <v>14133000</v>
      </c>
    </row>
    <row r="34" spans="5:16" ht="75" x14ac:dyDescent="0.25">
      <c r="E34" s="1023"/>
      <c r="F34" s="1024"/>
      <c r="H34" s="1020" t="str">
        <f>'BID II'!B1261</f>
        <v>: : Penyuluhan dan Pelatihan Bidang Kesehatan untuk Masyarakat (Pembuatan Video Promosi Posyandu)</v>
      </c>
      <c r="I34" s="1011">
        <f>'BID II'!F1281</f>
        <v>0</v>
      </c>
    </row>
    <row r="35" spans="5:16" ht="60" x14ac:dyDescent="0.25">
      <c r="E35" s="1020"/>
      <c r="F35" s="1010"/>
      <c r="H35" s="1020" t="str">
        <f>'BID II'!B1295</f>
        <v xml:space="preserve"> :  Pengasuhan Bersama atau Bina Keluarga Remaja (Penyelenggaraan BKR)</v>
      </c>
      <c r="I35" s="1011">
        <f>'BID II'!F1316</f>
        <v>14010000</v>
      </c>
    </row>
    <row r="36" spans="5:16" x14ac:dyDescent="0.25">
      <c r="H36" s="1009" t="str">
        <f>'BID II'!B1331</f>
        <v>:  Foging Fokus</v>
      </c>
      <c r="P36" s="1010"/>
    </row>
    <row r="37" spans="5:16" x14ac:dyDescent="0.25">
      <c r="H37" s="1009" t="str">
        <f>'BID II'!B1374</f>
        <v>: Gerakan Serentak PSN dan Lomba PSN</v>
      </c>
      <c r="I37" s="1011">
        <f>'BID II'!F1413</f>
        <v>41507000</v>
      </c>
      <c r="K37" s="1020"/>
      <c r="L37" s="1010"/>
    </row>
    <row r="38" spans="5:16" x14ac:dyDescent="0.25">
      <c r="F38" s="1010"/>
      <c r="H38" s="1009" t="str">
        <f>'BID II'!B1426</f>
        <v xml:space="preserve">Penyelengggaraan TPPS Desa </v>
      </c>
      <c r="I38" s="1011">
        <f>'BID II'!F1450</f>
        <v>5236500</v>
      </c>
    </row>
    <row r="39" spans="5:16" x14ac:dyDescent="0.25">
      <c r="E39" s="1020"/>
      <c r="G39" s="1010"/>
      <c r="H39" s="1010" t="str">
        <f>'BID II'!B1463</f>
        <v>: Rembuk Stunting</v>
      </c>
      <c r="I39" s="1011">
        <f>'BID II'!F1485</f>
        <v>2894687.09</v>
      </c>
      <c r="L39" s="1010"/>
    </row>
    <row r="40" spans="5:16" x14ac:dyDescent="0.25">
      <c r="H40" s="1009" t="str">
        <f>'BID II'!B1499</f>
        <v>: Penyelenggaraan Posyandu Remaja</v>
      </c>
      <c r="I40" s="1011">
        <f>'BID II'!F1529</f>
        <v>61113400</v>
      </c>
      <c r="L40" s="1010"/>
    </row>
    <row r="41" spans="5:16" ht="30" x14ac:dyDescent="0.25">
      <c r="H41" s="1020" t="str">
        <f>'BID II'!B2784</f>
        <v>: Kegiatan Pengelolaan Sampah Tingkat Desa</v>
      </c>
      <c r="I41" s="1011">
        <f>'BID II'!F2851</f>
        <v>524669000</v>
      </c>
    </row>
    <row r="42" spans="5:16" ht="45" x14ac:dyDescent="0.25">
      <c r="H42" s="1020" t="str">
        <f>'BID II'!B2866</f>
        <v>: Kegiatan Pengelolaan Sampah Tingkat Desa (Oprasional TPS3R)</v>
      </c>
      <c r="I42" s="1011">
        <f>'BID II'!F2927</f>
        <v>185773100</v>
      </c>
      <c r="L42" s="1010"/>
    </row>
    <row r="43" spans="5:16" ht="75" x14ac:dyDescent="0.25">
      <c r="E43" s="1015"/>
      <c r="H43" s="1020" t="str">
        <f>'BID II'!B2942</f>
        <v>: Pemeiliharaan Fasilitas Pengelolaan Sampah Desa/ Pemukiman (Operasional Kegiatan Bank Sampah Desa)</v>
      </c>
      <c r="I43" s="1011">
        <f>'BID II'!F2973</f>
        <v>25756700</v>
      </c>
    </row>
    <row r="44" spans="5:16" ht="30" x14ac:dyDescent="0.25">
      <c r="E44" s="1015"/>
      <c r="H44" s="1020" t="str">
        <f>'BID II'!B2987</f>
        <v>: Operasional Tim Kebersihan Lingkungan</v>
      </c>
      <c r="I44" s="1011">
        <f>'BID II'!F3020</f>
        <v>101527164.70999996</v>
      </c>
    </row>
    <row r="45" spans="5:16" x14ac:dyDescent="0.25">
      <c r="E45" s="1015"/>
      <c r="H45" s="1009" t="str">
        <f>'BID II'!B3034</f>
        <v>: TIM KEBERSIHAN SUNGAI</v>
      </c>
      <c r="I45" s="1011">
        <f>'BID II'!F3056</f>
        <v>67974000</v>
      </c>
    </row>
    <row r="46" spans="5:16" x14ac:dyDescent="0.25">
      <c r="E46" s="1015"/>
    </row>
    <row r="48" spans="5:16" x14ac:dyDescent="0.25">
      <c r="E48" s="1015"/>
    </row>
  </sheetData>
  <mergeCells count="1">
    <mergeCell ref="H2:I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0"/>
  <sheetViews>
    <sheetView topLeftCell="A10" zoomScale="59" zoomScaleNormal="59" workbookViewId="0">
      <selection activeCell="B17" sqref="A17:XFD19"/>
    </sheetView>
  </sheetViews>
  <sheetFormatPr defaultRowHeight="15" x14ac:dyDescent="0.25"/>
  <cols>
    <col min="1" max="1" width="15" customWidth="1"/>
    <col min="2" max="2" width="21.140625" customWidth="1"/>
    <col min="3" max="3" width="13.42578125" customWidth="1"/>
    <col min="4" max="4" width="31.140625" customWidth="1"/>
    <col min="5" max="5" width="67.28515625" customWidth="1"/>
    <col min="6" max="6" width="17.42578125" customWidth="1"/>
    <col min="7" max="7" width="12.5703125" customWidth="1"/>
    <col min="8" max="8" width="13" customWidth="1"/>
    <col min="9" max="9" width="11.42578125" customWidth="1"/>
    <col min="10" max="10" width="10.5703125" customWidth="1"/>
    <col min="11" max="11" width="10.28515625" customWidth="1"/>
    <col min="12" max="12" width="24.85546875" style="129" bestFit="1" customWidth="1"/>
    <col min="13" max="13" width="13.85546875" customWidth="1"/>
  </cols>
  <sheetData>
    <row r="1" spans="1:13" s="45" customFormat="1" ht="18.75" x14ac:dyDescent="0.3">
      <c r="A1" s="2119" t="s">
        <v>1398</v>
      </c>
      <c r="B1" s="2119"/>
      <c r="C1" s="2119"/>
      <c r="D1" s="2119"/>
      <c r="E1" s="2119"/>
      <c r="F1" s="2119"/>
      <c r="G1" s="2119"/>
      <c r="H1" s="2119"/>
      <c r="I1" s="2119"/>
      <c r="J1" s="2119"/>
      <c r="K1" s="2119"/>
      <c r="L1" s="2119"/>
      <c r="M1" s="2119"/>
    </row>
    <row r="2" spans="1:13" s="45" customFormat="1" ht="18.75" x14ac:dyDescent="0.3">
      <c r="A2" s="2119" t="s">
        <v>1226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  <c r="M2" s="2119"/>
    </row>
    <row r="3" spans="1:13" s="7" customFormat="1" ht="15.75" x14ac:dyDescent="0.25">
      <c r="E3" s="9"/>
      <c r="G3" s="8"/>
      <c r="L3" s="126"/>
    </row>
    <row r="4" spans="1:13" s="7" customFormat="1" ht="15.75" x14ac:dyDescent="0.25">
      <c r="A4" s="46" t="s">
        <v>1066</v>
      </c>
      <c r="B4" s="46" t="s">
        <v>1067</v>
      </c>
      <c r="C4" s="46"/>
      <c r="E4" s="9"/>
      <c r="G4" s="8"/>
      <c r="L4" s="126"/>
    </row>
    <row r="5" spans="1:13" s="7" customFormat="1" ht="15.75" x14ac:dyDescent="0.25">
      <c r="A5" s="46" t="s">
        <v>1068</v>
      </c>
      <c r="B5" s="46" t="s">
        <v>1069</v>
      </c>
      <c r="C5" s="46"/>
      <c r="E5" s="9"/>
      <c r="G5" s="8"/>
      <c r="L5" s="126"/>
    </row>
    <row r="6" spans="1:13" s="7" customFormat="1" ht="15.75" x14ac:dyDescent="0.25">
      <c r="A6" s="46" t="s">
        <v>1070</v>
      </c>
      <c r="B6" s="46" t="s">
        <v>1071</v>
      </c>
      <c r="C6" s="46"/>
      <c r="E6" s="9"/>
      <c r="G6" s="8"/>
      <c r="L6" s="126"/>
    </row>
    <row r="7" spans="1:13" s="7" customFormat="1" ht="15.75" x14ac:dyDescent="0.25">
      <c r="A7" s="46" t="s">
        <v>1072</v>
      </c>
      <c r="B7" s="46" t="s">
        <v>1073</v>
      </c>
      <c r="C7" s="46"/>
      <c r="E7" s="9"/>
      <c r="G7" s="8"/>
      <c r="L7" s="126"/>
    </row>
    <row r="8" spans="1:13" s="7" customFormat="1" ht="15.75" x14ac:dyDescent="0.25">
      <c r="E8" s="9"/>
      <c r="G8" s="8"/>
      <c r="L8" s="126"/>
    </row>
    <row r="9" spans="1:13" s="7" customFormat="1" ht="63" customHeight="1" x14ac:dyDescent="0.25">
      <c r="A9" s="2106" t="s">
        <v>1039</v>
      </c>
      <c r="B9" s="2106" t="s">
        <v>1074</v>
      </c>
      <c r="C9" s="2106"/>
      <c r="D9" s="2106"/>
      <c r="E9" s="2105" t="s">
        <v>1246</v>
      </c>
      <c r="F9" s="2105" t="s">
        <v>1247</v>
      </c>
      <c r="G9" s="2105" t="s">
        <v>1248</v>
      </c>
      <c r="H9" s="2105" t="s">
        <v>1249</v>
      </c>
      <c r="I9" s="2106" t="s">
        <v>1079</v>
      </c>
      <c r="J9" s="2106"/>
      <c r="K9" s="2106"/>
      <c r="L9" s="2105" t="s">
        <v>1250</v>
      </c>
      <c r="M9" s="2105"/>
    </row>
    <row r="10" spans="1:13" s="7" customFormat="1" ht="32.25" customHeight="1" x14ac:dyDescent="0.25">
      <c r="A10" s="2106"/>
      <c r="B10" s="84" t="s">
        <v>1083</v>
      </c>
      <c r="C10" s="85" t="s">
        <v>1251</v>
      </c>
      <c r="D10" s="85" t="s">
        <v>1252</v>
      </c>
      <c r="E10" s="2105"/>
      <c r="F10" s="2105"/>
      <c r="G10" s="2105"/>
      <c r="H10" s="2105"/>
      <c r="I10" s="84" t="s">
        <v>1253</v>
      </c>
      <c r="J10" s="84" t="s">
        <v>1254</v>
      </c>
      <c r="K10" s="84" t="s">
        <v>1255</v>
      </c>
      <c r="L10" s="130" t="s">
        <v>1256</v>
      </c>
      <c r="M10" s="84" t="s">
        <v>1086</v>
      </c>
    </row>
    <row r="11" spans="1:13" s="7" customFormat="1" ht="15.75" x14ac:dyDescent="0.25">
      <c r="A11" s="13" t="s">
        <v>1087</v>
      </c>
      <c r="B11" s="13" t="s">
        <v>1088</v>
      </c>
      <c r="C11" s="13" t="s">
        <v>1089</v>
      </c>
      <c r="D11" s="13" t="s">
        <v>1090</v>
      </c>
      <c r="E11" s="10" t="s">
        <v>1091</v>
      </c>
      <c r="F11" s="13" t="s">
        <v>1092</v>
      </c>
      <c r="G11" s="14" t="s">
        <v>1093</v>
      </c>
      <c r="H11" s="13" t="s">
        <v>1094</v>
      </c>
      <c r="I11" s="13" t="s">
        <v>1095</v>
      </c>
      <c r="J11" s="13" t="s">
        <v>1096</v>
      </c>
      <c r="K11" s="13" t="s">
        <v>1097</v>
      </c>
      <c r="L11" s="90" t="s">
        <v>1098</v>
      </c>
      <c r="M11" s="13" t="s">
        <v>488</v>
      </c>
    </row>
    <row r="12" spans="1:13" s="7" customFormat="1" ht="84" customHeight="1" x14ac:dyDescent="0.25">
      <c r="A12" s="2117">
        <v>1</v>
      </c>
      <c r="B12" s="2118" t="s">
        <v>57</v>
      </c>
      <c r="C12" s="19">
        <v>1</v>
      </c>
      <c r="D12" s="28" t="str">
        <f>'[1]BID I'!B948</f>
        <v>: Penyusunan/ Pendataan/Pemuktahiran Profil Desa (Pendataan SDGs Desa )</v>
      </c>
      <c r="E12" s="15"/>
      <c r="F12" s="18" t="s">
        <v>1225</v>
      </c>
      <c r="G12" s="18" t="s">
        <v>1102</v>
      </c>
      <c r="H12" s="19" t="s">
        <v>1147</v>
      </c>
      <c r="I12" s="10">
        <v>3.5179999999999998</v>
      </c>
      <c r="J12" s="10">
        <v>3.3730000000000002</v>
      </c>
      <c r="K12" s="13"/>
      <c r="L12" s="131">
        <f>'[1]BID I'!F992</f>
        <v>81828500</v>
      </c>
      <c r="M12" s="22" t="s">
        <v>1104</v>
      </c>
    </row>
    <row r="13" spans="1:13" ht="91.5" customHeight="1" x14ac:dyDescent="0.25">
      <c r="A13" s="2117"/>
      <c r="B13" s="2118"/>
      <c r="C13" s="19">
        <v>2</v>
      </c>
      <c r="D13" s="28" t="str">
        <f>'[1]BID I'!B1086</f>
        <v>Penyelenggaraan Musyawarah Desa/ Pembahasan APBDes (Musrenbangdes)</v>
      </c>
      <c r="E13" s="15"/>
      <c r="F13" s="18" t="s">
        <v>1143</v>
      </c>
      <c r="G13" s="18" t="s">
        <v>1102</v>
      </c>
      <c r="H13" s="19" t="s">
        <v>1106</v>
      </c>
      <c r="I13" s="10">
        <v>3.5179999999999998</v>
      </c>
      <c r="J13" s="10">
        <v>3.3730000000000002</v>
      </c>
      <c r="K13" s="1"/>
      <c r="L13" s="131">
        <f>'[1]BID I'!F1114</f>
        <v>12860000</v>
      </c>
      <c r="M13" s="22" t="s">
        <v>1104</v>
      </c>
    </row>
    <row r="14" spans="1:13" ht="105.75" customHeight="1" x14ac:dyDescent="0.25">
      <c r="A14" s="2117"/>
      <c r="B14" s="2118"/>
      <c r="C14" s="19">
        <v>3</v>
      </c>
      <c r="D14" s="28" t="str">
        <f>'[1]BID I'!B1130</f>
        <v>Penyelenggaraan Musyawarah Desa/ Pembahasan APBDes (Musdes, Musrenbangdes/pra musrenbangdes, dll yang bersifat reguler )</v>
      </c>
      <c r="E14" s="15"/>
      <c r="F14" s="18" t="s">
        <v>1143</v>
      </c>
      <c r="G14" s="18" t="s">
        <v>1102</v>
      </c>
      <c r="H14" s="19" t="s">
        <v>1152</v>
      </c>
      <c r="I14" s="10">
        <v>3.5179999999999998</v>
      </c>
      <c r="J14" s="10">
        <v>3.3730000000000002</v>
      </c>
      <c r="K14" s="1"/>
      <c r="L14" s="131">
        <f>'[1]BID I'!F1158</f>
        <v>43416000</v>
      </c>
      <c r="M14" s="22" t="s">
        <v>1104</v>
      </c>
    </row>
    <row r="15" spans="1:13" ht="17.25" customHeight="1" x14ac:dyDescent="0.25">
      <c r="A15" s="33"/>
      <c r="B15" s="33"/>
      <c r="C15" s="26"/>
      <c r="D15" s="27"/>
      <c r="E15" s="86"/>
      <c r="F15" s="87"/>
      <c r="G15" s="87"/>
      <c r="H15" s="22"/>
      <c r="I15" s="33"/>
      <c r="J15" s="33"/>
      <c r="K15" s="33"/>
      <c r="L15" s="132"/>
      <c r="M15" s="22"/>
    </row>
    <row r="16" spans="1:13" ht="21.75" customHeight="1" x14ac:dyDescent="0.3">
      <c r="A16" s="2116" t="s">
        <v>1294</v>
      </c>
      <c r="B16" s="2116"/>
      <c r="C16" s="2116"/>
      <c r="D16" s="2116"/>
      <c r="E16" s="2116"/>
      <c r="F16" s="2116"/>
      <c r="G16" s="2116"/>
      <c r="H16" s="2116"/>
      <c r="I16" s="2116"/>
      <c r="J16" s="2116"/>
      <c r="K16" s="2116"/>
      <c r="L16" s="127">
        <f>SUM(L12:L14)</f>
        <v>138104500</v>
      </c>
      <c r="M16" s="1"/>
    </row>
    <row r="17" spans="1:13" s="7" customFormat="1" ht="63" customHeight="1" x14ac:dyDescent="0.25">
      <c r="A17" s="2106" t="s">
        <v>1039</v>
      </c>
      <c r="B17" s="2106" t="s">
        <v>1074</v>
      </c>
      <c r="C17" s="2106"/>
      <c r="D17" s="2106"/>
      <c r="E17" s="2105" t="s">
        <v>1246</v>
      </c>
      <c r="F17" s="2105" t="s">
        <v>1247</v>
      </c>
      <c r="G17" s="2105" t="s">
        <v>1248</v>
      </c>
      <c r="H17" s="2105" t="s">
        <v>1249</v>
      </c>
      <c r="I17" s="2106" t="s">
        <v>1079</v>
      </c>
      <c r="J17" s="2106"/>
      <c r="K17" s="2106"/>
      <c r="L17" s="2105" t="s">
        <v>1250</v>
      </c>
      <c r="M17" s="2105"/>
    </row>
    <row r="18" spans="1:13" s="7" customFormat="1" ht="32.25" customHeight="1" x14ac:dyDescent="0.25">
      <c r="A18" s="2106"/>
      <c r="B18" s="84" t="s">
        <v>1083</v>
      </c>
      <c r="C18" s="85" t="s">
        <v>1251</v>
      </c>
      <c r="D18" s="85" t="s">
        <v>1252</v>
      </c>
      <c r="E18" s="2105"/>
      <c r="F18" s="2105"/>
      <c r="G18" s="2105"/>
      <c r="H18" s="2105"/>
      <c r="I18" s="84" t="s">
        <v>1253</v>
      </c>
      <c r="J18" s="84" t="s">
        <v>1254</v>
      </c>
      <c r="K18" s="84" t="s">
        <v>1255</v>
      </c>
      <c r="L18" s="130" t="s">
        <v>1256</v>
      </c>
      <c r="M18" s="84" t="s">
        <v>1086</v>
      </c>
    </row>
    <row r="19" spans="1:13" s="7" customFormat="1" ht="15.75" x14ac:dyDescent="0.25">
      <c r="A19" s="13" t="s">
        <v>1087</v>
      </c>
      <c r="B19" s="13" t="s">
        <v>1088</v>
      </c>
      <c r="C19" s="13" t="s">
        <v>1089</v>
      </c>
      <c r="D19" s="13" t="s">
        <v>1090</v>
      </c>
      <c r="E19" s="10" t="s">
        <v>1091</v>
      </c>
      <c r="F19" s="13" t="s">
        <v>1092</v>
      </c>
      <c r="G19" s="14" t="s">
        <v>1093</v>
      </c>
      <c r="H19" s="13" t="s">
        <v>1094</v>
      </c>
      <c r="I19" s="13" t="s">
        <v>1095</v>
      </c>
      <c r="J19" s="13" t="s">
        <v>1096</v>
      </c>
      <c r="K19" s="13" t="s">
        <v>1097</v>
      </c>
      <c r="L19" s="90" t="s">
        <v>1098</v>
      </c>
      <c r="M19" s="13" t="s">
        <v>488</v>
      </c>
    </row>
    <row r="20" spans="1:13" ht="105.75" customHeight="1" x14ac:dyDescent="0.25">
      <c r="A20" s="2112">
        <v>2</v>
      </c>
      <c r="B20" s="2114" t="s">
        <v>571</v>
      </c>
      <c r="C20" s="19">
        <v>1</v>
      </c>
      <c r="D20" s="21" t="str">
        <f>'[1]BID II'!B7</f>
        <v>Penyelenggaraan PAUD/TK/TKA/ Madrasah Non Formal Milik Desa (Pengelolaan Taman Kanak - kanak  TK Kumara Sari VI )</v>
      </c>
      <c r="E20" s="13"/>
      <c r="F20" s="28" t="s">
        <v>1108</v>
      </c>
      <c r="G20" s="18" t="s">
        <v>1102</v>
      </c>
      <c r="H20" s="19" t="s">
        <v>1106</v>
      </c>
      <c r="I20" s="34">
        <v>40</v>
      </c>
      <c r="J20" s="34">
        <v>40</v>
      </c>
      <c r="K20" s="1"/>
      <c r="L20" s="133">
        <f>'[1]RKP 2023'!L47</f>
        <v>350478057.09000003</v>
      </c>
      <c r="M20" s="19" t="s">
        <v>1104</v>
      </c>
    </row>
    <row r="21" spans="1:13" ht="105.75" customHeight="1" x14ac:dyDescent="0.25">
      <c r="A21" s="2113"/>
      <c r="B21" s="2115"/>
      <c r="C21" s="19">
        <v>2</v>
      </c>
      <c r="D21" s="21" t="str">
        <f>'[1]BID II'!B212</f>
        <v>Pemeliharaan Sarana dan Prasarana TK Milik Desa (Pembangunan Ruang Komputer)</v>
      </c>
      <c r="E21" s="13"/>
      <c r="F21" s="28" t="s">
        <v>1236</v>
      </c>
      <c r="G21" s="18" t="s">
        <v>1102</v>
      </c>
      <c r="H21" s="19" t="s">
        <v>1106</v>
      </c>
      <c r="I21" s="34">
        <v>40</v>
      </c>
      <c r="J21" s="34">
        <v>40</v>
      </c>
      <c r="K21" s="1"/>
      <c r="L21" s="127">
        <f>'[1]RKP 2023'!L49</f>
        <v>211772294</v>
      </c>
      <c r="M21" s="19" t="s">
        <v>1104</v>
      </c>
    </row>
    <row r="22" spans="1:13" ht="105.75" customHeight="1" x14ac:dyDescent="0.25">
      <c r="A22" s="2113"/>
      <c r="B22" s="2115"/>
      <c r="C22" s="19">
        <v>3</v>
      </c>
      <c r="D22" s="28" t="str">
        <f>'[1]BID II'!B290</f>
        <v>: Posyandu Remaja</v>
      </c>
      <c r="E22" s="10"/>
      <c r="F22" s="28" t="s">
        <v>1154</v>
      </c>
      <c r="G22" s="18" t="s">
        <v>1102</v>
      </c>
      <c r="H22" s="19" t="s">
        <v>1138</v>
      </c>
      <c r="I22" s="34">
        <v>2</v>
      </c>
      <c r="J22" s="34">
        <v>3</v>
      </c>
      <c r="K22" s="1"/>
      <c r="L22" s="127">
        <f>'[1]RKP 2023'!L50</f>
        <v>16110000</v>
      </c>
      <c r="M22" s="19" t="s">
        <v>1104</v>
      </c>
    </row>
    <row r="23" spans="1:13" ht="105.75" customHeight="1" x14ac:dyDescent="0.25">
      <c r="A23" s="2113"/>
      <c r="B23" s="2115"/>
      <c r="C23" s="19">
        <v>4</v>
      </c>
      <c r="D23" s="28" t="str">
        <f>'[1]BID II'!B338</f>
        <v>: Penyelenggaraan Posyandu (Pemberian PMT)</v>
      </c>
      <c r="E23" s="10"/>
      <c r="F23" s="28" t="s">
        <v>1155</v>
      </c>
      <c r="G23" s="18" t="s">
        <v>1102</v>
      </c>
      <c r="H23" s="19" t="s">
        <v>1138</v>
      </c>
      <c r="I23" s="34">
        <v>215</v>
      </c>
      <c r="J23" s="34">
        <v>218</v>
      </c>
      <c r="K23" s="1"/>
      <c r="L23" s="127">
        <f>'[1]RKP 2023'!L51</f>
        <v>249118000</v>
      </c>
      <c r="M23" s="19" t="s">
        <v>1104</v>
      </c>
    </row>
    <row r="24" spans="1:13" ht="105.75" customHeight="1" x14ac:dyDescent="0.25">
      <c r="A24" s="2113"/>
      <c r="B24" s="2115"/>
      <c r="C24" s="19">
        <v>5</v>
      </c>
      <c r="D24" s="28" t="str">
        <f>'[1]BID II'!B394</f>
        <v>: Penyelenggaraan POSyandu (Pos Gizi dan Ibu Hamil)</v>
      </c>
      <c r="E24" s="10"/>
      <c r="F24" s="28" t="s">
        <v>1156</v>
      </c>
      <c r="G24" s="18" t="s">
        <v>1102</v>
      </c>
      <c r="H24" s="19" t="s">
        <v>1106</v>
      </c>
      <c r="I24" s="1"/>
      <c r="J24" s="1">
        <v>15</v>
      </c>
      <c r="K24" s="1"/>
      <c r="L24" s="127">
        <f>'[1]RKP 2023'!L52</f>
        <v>4230000</v>
      </c>
      <c r="M24" s="19" t="s">
        <v>1104</v>
      </c>
    </row>
    <row r="25" spans="1:13" ht="105.75" customHeight="1" x14ac:dyDescent="0.25">
      <c r="A25" s="2113"/>
      <c r="B25" s="2115"/>
      <c r="C25" s="19">
        <v>6</v>
      </c>
      <c r="D25" s="28" t="str">
        <f>'[1]BID II'!B436</f>
        <v xml:space="preserve"> :  Pengasuhan Bersama atau Bina Keluarga Balita (Pelaksanaan Kegiatan Bina keluarga Balita BKB )</v>
      </c>
      <c r="E25" s="10"/>
      <c r="F25" s="28" t="s">
        <v>1157</v>
      </c>
      <c r="G25" s="18" t="s">
        <v>1102</v>
      </c>
      <c r="H25" s="19" t="s">
        <v>1138</v>
      </c>
      <c r="I25" s="1"/>
      <c r="J25" s="1">
        <v>30</v>
      </c>
      <c r="K25" s="1"/>
      <c r="L25" s="127">
        <f>'[1]RKP 2023'!L53</f>
        <v>56775000</v>
      </c>
      <c r="M25" s="19" t="s">
        <v>1104</v>
      </c>
    </row>
    <row r="26" spans="1:13" ht="105.75" customHeight="1" x14ac:dyDescent="0.25">
      <c r="A26" s="2113"/>
      <c r="B26" s="2115"/>
      <c r="C26" s="19">
        <v>7</v>
      </c>
      <c r="D26" s="28" t="str">
        <f>'[1]BID II'!B484</f>
        <v xml:space="preserve"> :  Pengasuhan Bersama atau Bina Keluarga Lansia (Pelaksanaan Kegiatan Bina keluarga lansia BKL )</v>
      </c>
      <c r="E26" s="10"/>
      <c r="F26" s="28" t="s">
        <v>1158</v>
      </c>
      <c r="G26" s="18" t="s">
        <v>1102</v>
      </c>
      <c r="H26" s="19" t="s">
        <v>1106</v>
      </c>
      <c r="I26" s="1"/>
      <c r="J26" s="1">
        <v>6</v>
      </c>
      <c r="K26" s="1"/>
      <c r="L26" s="127">
        <f>'[1]RKP 2023'!L54</f>
        <v>8340000</v>
      </c>
      <c r="M26" s="19" t="s">
        <v>1104</v>
      </c>
    </row>
    <row r="27" spans="1:13" ht="105.75" customHeight="1" x14ac:dyDescent="0.25">
      <c r="A27" s="2113"/>
      <c r="B27" s="2115"/>
      <c r="C27" s="19">
        <v>8</v>
      </c>
      <c r="D27" s="28" t="str">
        <f>'[1]BID II'!B527</f>
        <v>: Penyuluhan dan Pelatihan Bidang Kesehatan (Pembinaan Kader POSyandu)</v>
      </c>
      <c r="E27" s="10"/>
      <c r="F27" s="28" t="s">
        <v>1159</v>
      </c>
      <c r="G27" s="18" t="s">
        <v>1102</v>
      </c>
      <c r="H27" s="19" t="s">
        <v>1106</v>
      </c>
      <c r="I27" s="1"/>
      <c r="J27" s="1">
        <v>71</v>
      </c>
      <c r="K27" s="1"/>
      <c r="L27" s="127">
        <f>'[1]RKP 2023'!L55</f>
        <v>1830000</v>
      </c>
      <c r="M27" s="19" t="s">
        <v>1104</v>
      </c>
    </row>
    <row r="28" spans="1:13" ht="105.75" customHeight="1" x14ac:dyDescent="0.25">
      <c r="A28" s="2113"/>
      <c r="B28" s="2115"/>
      <c r="C28" s="19">
        <v>9</v>
      </c>
      <c r="D28" s="28" t="str">
        <f>'[1]BID II'!B567</f>
        <v>: Penyuluhan dan Pelatihan Bidang Kesehatan(Sosialisasi Stunting)</v>
      </c>
      <c r="E28" s="10"/>
      <c r="F28" s="28" t="s">
        <v>1160</v>
      </c>
      <c r="G28" s="18" t="s">
        <v>1102</v>
      </c>
      <c r="H28" s="19" t="s">
        <v>1106</v>
      </c>
      <c r="I28" s="34">
        <v>3.5179999999999998</v>
      </c>
      <c r="J28" s="34">
        <v>3.3730000000000002</v>
      </c>
      <c r="K28" s="1"/>
      <c r="L28" s="127">
        <f>'[1]RKP 2023'!L56</f>
        <v>2740000</v>
      </c>
      <c r="M28" s="19" t="s">
        <v>1104</v>
      </c>
    </row>
    <row r="29" spans="1:13" ht="105.75" customHeight="1" x14ac:dyDescent="0.25">
      <c r="A29" s="2113"/>
      <c r="B29" s="2115"/>
      <c r="C29" s="19">
        <v>10</v>
      </c>
      <c r="D29" s="28" t="e">
        <f>#REF!</f>
        <v>#REF!</v>
      </c>
      <c r="E29" s="10"/>
      <c r="F29" s="28" t="s">
        <v>1422</v>
      </c>
      <c r="G29" s="18" t="s">
        <v>1102</v>
      </c>
      <c r="H29" s="19" t="s">
        <v>1106</v>
      </c>
      <c r="I29" s="34">
        <v>3.5179999999999998</v>
      </c>
      <c r="J29" s="34">
        <v>3.3730000000000002</v>
      </c>
      <c r="K29" s="1"/>
      <c r="L29" s="127" t="e">
        <f>#REF!</f>
        <v>#REF!</v>
      </c>
      <c r="M29" s="19" t="s">
        <v>1104</v>
      </c>
    </row>
    <row r="30" spans="1:13" ht="105.75" customHeight="1" x14ac:dyDescent="0.25">
      <c r="A30" s="2113"/>
      <c r="B30" s="2115"/>
      <c r="C30" s="19">
        <v>11</v>
      </c>
      <c r="D30" s="28" t="str">
        <f>'[1]BID II'!B613</f>
        <v>: Penyuluhan dan Pelatihan Bidang Kesehatan (Penyuluhan Narkoba dan HIV/AIDS)</v>
      </c>
      <c r="E30" s="10"/>
      <c r="F30" s="28" t="s">
        <v>1161</v>
      </c>
      <c r="G30" s="18" t="s">
        <v>1102</v>
      </c>
      <c r="H30" s="19" t="s">
        <v>1106</v>
      </c>
      <c r="I30" s="34">
        <v>3.5179999999999998</v>
      </c>
      <c r="J30" s="34">
        <v>3.3730000000000002</v>
      </c>
      <c r="K30" s="1"/>
      <c r="L30" s="127">
        <f>'[1]RKP 2023'!L57</f>
        <v>19940000</v>
      </c>
      <c r="M30" s="19" t="s">
        <v>1104</v>
      </c>
    </row>
    <row r="31" spans="1:13" ht="105.75" customHeight="1" x14ac:dyDescent="0.25">
      <c r="A31" s="2113"/>
      <c r="B31" s="2115"/>
      <c r="C31" s="19">
        <v>12</v>
      </c>
      <c r="D31" s="28" t="str">
        <f>'[1]BID II'!B663</f>
        <v>: Penyuluhan dan Pelatihan Bidang Kesehatan (Pemberian tambahan nutrisi bagi lansia)</v>
      </c>
      <c r="E31" s="10"/>
      <c r="F31" s="28" t="s">
        <v>1158</v>
      </c>
      <c r="G31" s="18" t="s">
        <v>1102</v>
      </c>
      <c r="H31" s="19" t="s">
        <v>1106</v>
      </c>
      <c r="I31" s="34">
        <v>82</v>
      </c>
      <c r="J31" s="34">
        <v>90</v>
      </c>
      <c r="K31" s="1"/>
      <c r="L31" s="127">
        <f>'[1]RKP 2023'!L58</f>
        <v>101104000</v>
      </c>
      <c r="M31" s="19" t="s">
        <v>1104</v>
      </c>
    </row>
    <row r="32" spans="1:13" ht="105.75" customHeight="1" x14ac:dyDescent="0.25">
      <c r="A32" s="2113"/>
      <c r="B32" s="2115"/>
      <c r="C32" s="19">
        <v>13</v>
      </c>
      <c r="D32" s="28" t="str">
        <f>'[1]BID II'!B703</f>
        <v>: Penyuluhan dan Pelatihan Bidang Kesehatan (Posbindu)</v>
      </c>
      <c r="E32" s="10"/>
      <c r="F32" s="28" t="s">
        <v>1185</v>
      </c>
      <c r="G32" s="18" t="s">
        <v>1102</v>
      </c>
      <c r="H32" s="19" t="s">
        <v>1106</v>
      </c>
      <c r="I32" s="1"/>
      <c r="J32" s="1">
        <v>16</v>
      </c>
      <c r="K32" s="1"/>
      <c r="L32" s="127">
        <f>'[1]RKP 2023'!L59</f>
        <v>14295000</v>
      </c>
      <c r="M32" s="19" t="s">
        <v>1104</v>
      </c>
    </row>
    <row r="33" spans="1:13" ht="105.75" customHeight="1" x14ac:dyDescent="0.25">
      <c r="A33" s="2113"/>
      <c r="B33" s="2115"/>
      <c r="C33" s="19">
        <v>14</v>
      </c>
      <c r="D33" s="28" t="str">
        <f>'[1]BID II'!B764</f>
        <v>: Penyuluhan dan Pelatihan Bidang Kesehatan (Penyuluhan KB)</v>
      </c>
      <c r="E33" s="10"/>
      <c r="F33" s="28" t="s">
        <v>1186</v>
      </c>
      <c r="G33" s="18" t="s">
        <v>1102</v>
      </c>
      <c r="H33" s="19" t="s">
        <v>1106</v>
      </c>
      <c r="I33" s="34">
        <v>3.5179999999999998</v>
      </c>
      <c r="J33" s="34">
        <v>3.3730000000000002</v>
      </c>
      <c r="K33" s="1"/>
      <c r="L33" s="127">
        <f>'[1]RKP 2023'!L60</f>
        <v>17685000</v>
      </c>
      <c r="M33" s="19" t="s">
        <v>1104</v>
      </c>
    </row>
    <row r="34" spans="1:13" ht="105.75" customHeight="1" x14ac:dyDescent="0.25">
      <c r="A34" s="2113"/>
      <c r="B34" s="2115"/>
      <c r="C34" s="19">
        <v>15</v>
      </c>
      <c r="D34" s="28" t="str">
        <f>'[1]BID II'!B823</f>
        <v>: Penyuluhan dan Pelatihan Bidang Kesehatan (Desa Siaga Kesehatan)</v>
      </c>
      <c r="E34" s="10"/>
      <c r="F34" s="28" t="s">
        <v>1187</v>
      </c>
      <c r="G34" s="18" t="s">
        <v>1102</v>
      </c>
      <c r="H34" s="19" t="s">
        <v>1138</v>
      </c>
      <c r="I34" s="1"/>
      <c r="J34" s="1">
        <v>8</v>
      </c>
      <c r="K34" s="1"/>
      <c r="L34" s="127">
        <f>'[1]RKP 2023'!L61</f>
        <v>2665000</v>
      </c>
      <c r="M34" s="19" t="s">
        <v>1104</v>
      </c>
    </row>
    <row r="35" spans="1:13" ht="105.75" customHeight="1" x14ac:dyDescent="0.25">
      <c r="A35" s="2113"/>
      <c r="B35" s="2115"/>
      <c r="C35" s="19">
        <v>16</v>
      </c>
      <c r="D35" s="28" t="str">
        <f>'[1]BID II'!B867</f>
        <v xml:space="preserve"> :Pengasuhan Bersama atau Bina Keluarga Balita (Pembinaan  kader BKB)</v>
      </c>
      <c r="E35" s="10"/>
      <c r="F35" s="28" t="s">
        <v>1188</v>
      </c>
      <c r="G35" s="18" t="s">
        <v>1102</v>
      </c>
      <c r="H35" s="19" t="s">
        <v>1106</v>
      </c>
      <c r="I35" s="1"/>
      <c r="J35" s="1">
        <v>30</v>
      </c>
      <c r="K35" s="1"/>
      <c r="L35" s="127">
        <f>'[1]RKP 2023'!L62</f>
        <v>2385000</v>
      </c>
      <c r="M35" s="19" t="s">
        <v>1104</v>
      </c>
    </row>
    <row r="36" spans="1:13" ht="105.75" customHeight="1" x14ac:dyDescent="0.25">
      <c r="A36" s="2113"/>
      <c r="B36" s="2115"/>
      <c r="C36" s="19">
        <v>17</v>
      </c>
      <c r="D36" s="28" t="str">
        <f>'[1]BID II'!B907</f>
        <v xml:space="preserve"> :  Pengasuhan Bersama atau Bina Keluarga Balita (Pembinaan Kegiatan Bina keluarga Remaja BKR )</v>
      </c>
      <c r="E36" s="10"/>
      <c r="F36" s="28" t="s">
        <v>1189</v>
      </c>
      <c r="G36" s="18" t="s">
        <v>1102</v>
      </c>
      <c r="H36" s="19" t="s">
        <v>1106</v>
      </c>
      <c r="I36" s="1">
        <v>2</v>
      </c>
      <c r="J36" s="1">
        <v>3</v>
      </c>
      <c r="K36" s="1"/>
      <c r="L36" s="127">
        <f>'[1]RKP 2023'!L63</f>
        <v>1690000</v>
      </c>
      <c r="M36" s="19" t="s">
        <v>1104</v>
      </c>
    </row>
    <row r="37" spans="1:13" ht="105.75" customHeight="1" x14ac:dyDescent="0.25">
      <c r="A37" s="2113"/>
      <c r="B37" s="2115"/>
      <c r="C37" s="19">
        <v>18</v>
      </c>
      <c r="D37" s="28" t="str">
        <f>'[1]BID II'!B954</f>
        <v xml:space="preserve"> :  Pengasuhan Bersama atau Bina Keluarga Remaja (Penyelenggaraan BKR)</v>
      </c>
      <c r="E37" s="10"/>
      <c r="F37" s="28" t="s">
        <v>1190</v>
      </c>
      <c r="G37" s="18" t="s">
        <v>1102</v>
      </c>
      <c r="H37" s="19" t="s">
        <v>1138</v>
      </c>
      <c r="I37" s="34">
        <v>55</v>
      </c>
      <c r="J37" s="34">
        <v>50</v>
      </c>
      <c r="K37" s="1"/>
      <c r="L37" s="127">
        <f>'[1]RKP 2023'!L64</f>
        <v>8040000</v>
      </c>
      <c r="M37" s="19" t="s">
        <v>1104</v>
      </c>
    </row>
    <row r="38" spans="1:13" ht="105.75" customHeight="1" x14ac:dyDescent="0.25">
      <c r="A38" s="2113"/>
      <c r="B38" s="2115"/>
      <c r="C38" s="19">
        <v>19</v>
      </c>
      <c r="D38" s="28" t="str">
        <f>'[1]BID II'!B987</f>
        <v xml:space="preserve"> :Pendampingan calon pengantin</v>
      </c>
      <c r="E38" s="10"/>
      <c r="F38" s="28" t="s">
        <v>1292</v>
      </c>
      <c r="G38" s="18" t="s">
        <v>1102</v>
      </c>
      <c r="H38" s="19" t="s">
        <v>1293</v>
      </c>
      <c r="I38" s="34">
        <v>3.5179999999999998</v>
      </c>
      <c r="J38" s="34">
        <v>3.3730000000000002</v>
      </c>
      <c r="K38" s="1"/>
      <c r="L38" s="127">
        <f>'[1]RKP 2023'!L65</f>
        <v>5757500</v>
      </c>
      <c r="M38" s="19" t="s">
        <v>1104</v>
      </c>
    </row>
    <row r="39" spans="1:13" ht="105.75" customHeight="1" x14ac:dyDescent="0.25">
      <c r="A39" s="2113"/>
      <c r="B39" s="2115"/>
      <c r="C39" s="19">
        <v>20</v>
      </c>
      <c r="D39" s="28" t="str">
        <f>'[1]BID II'!B1201</f>
        <v>: Penyelengggaraan Rumah Desa Sehat</v>
      </c>
      <c r="E39" s="10"/>
      <c r="F39" s="28" t="s">
        <v>1193</v>
      </c>
      <c r="G39" s="18" t="s">
        <v>1102</v>
      </c>
      <c r="H39" s="19" t="s">
        <v>1138</v>
      </c>
      <c r="I39" s="1"/>
      <c r="J39" s="1">
        <v>9</v>
      </c>
      <c r="K39" s="1"/>
      <c r="L39" s="127">
        <f>'[1]RKP 2023'!L69</f>
        <v>6127385</v>
      </c>
      <c r="M39" s="19" t="s">
        <v>1104</v>
      </c>
    </row>
    <row r="40" spans="1:13" ht="105.75" customHeight="1" x14ac:dyDescent="0.25">
      <c r="A40" s="2113"/>
      <c r="B40" s="2115"/>
      <c r="C40" s="19">
        <v>21</v>
      </c>
      <c r="D40" s="125" t="str">
        <f>'[1]BID II'!B1539</f>
        <v>: Pemeliharaan Prasarana Jalan Desa (Penggelontoran Gorong Gorong ,saluran air subak Taman Munduk Uma DiwangPKTD)</v>
      </c>
      <c r="E40" s="13"/>
      <c r="F40" s="28" t="s">
        <v>1237</v>
      </c>
      <c r="G40" s="18" t="s">
        <v>1102</v>
      </c>
      <c r="H40" s="19" t="s">
        <v>1198</v>
      </c>
      <c r="I40" s="34">
        <v>3.5179999999999998</v>
      </c>
      <c r="J40" s="34">
        <v>3.3730000000000002</v>
      </c>
      <c r="K40" s="1"/>
      <c r="L40" s="127">
        <f>'[1]RKP 2023'!L77</f>
        <v>30140000</v>
      </c>
      <c r="M40" s="19" t="s">
        <v>1104</v>
      </c>
    </row>
    <row r="41" spans="1:13" ht="105.75" customHeight="1" x14ac:dyDescent="0.25">
      <c r="A41" s="2113"/>
      <c r="B41" s="2115"/>
      <c r="C41" s="19">
        <v>22</v>
      </c>
      <c r="D41" s="125" t="str">
        <f>'[1]BID II'!B1573</f>
        <v>: Pemeliharaan Prasarana Jalan Desa (Penggelontoran Gorong Gorong ,saluran air sepanjang jalan siulan)</v>
      </c>
      <c r="E41" s="13"/>
      <c r="F41" s="28" t="s">
        <v>1238</v>
      </c>
      <c r="G41" s="18" t="s">
        <v>1102</v>
      </c>
      <c r="H41" s="19" t="s">
        <v>1198</v>
      </c>
      <c r="I41" s="34">
        <v>3.5179999999999998</v>
      </c>
      <c r="J41" s="34">
        <v>3.3730000000000002</v>
      </c>
      <c r="K41" s="1"/>
      <c r="L41" s="127">
        <f>'[1]RKP 2023'!L78</f>
        <v>37420000</v>
      </c>
      <c r="M41" s="19" t="s">
        <v>1104</v>
      </c>
    </row>
    <row r="42" spans="1:13" ht="21.75" customHeight="1" x14ac:dyDescent="0.3">
      <c r="A42" s="2116" t="s">
        <v>1296</v>
      </c>
      <c r="B42" s="2116"/>
      <c r="C42" s="2116"/>
      <c r="D42" s="2116"/>
      <c r="E42" s="2116"/>
      <c r="F42" s="2116"/>
      <c r="G42" s="2116"/>
      <c r="H42" s="2116"/>
      <c r="I42" s="2116"/>
      <c r="J42" s="2116"/>
      <c r="K42" s="2116"/>
      <c r="L42" s="127" t="e">
        <f>SUM(L20:L41)</f>
        <v>#REF!</v>
      </c>
      <c r="M42" s="1"/>
    </row>
    <row r="43" spans="1:13" s="7" customFormat="1" ht="31.5" customHeight="1" x14ac:dyDescent="0.25">
      <c r="A43" s="2106" t="s">
        <v>1039</v>
      </c>
      <c r="B43" s="2106" t="s">
        <v>1074</v>
      </c>
      <c r="C43" s="2106"/>
      <c r="D43" s="2106"/>
      <c r="E43" s="2105" t="s">
        <v>1246</v>
      </c>
      <c r="F43" s="2105" t="s">
        <v>1247</v>
      </c>
      <c r="G43" s="2105" t="s">
        <v>1248</v>
      </c>
      <c r="H43" s="2105" t="s">
        <v>1249</v>
      </c>
      <c r="I43" s="2106" t="s">
        <v>1079</v>
      </c>
      <c r="J43" s="2106"/>
      <c r="K43" s="2106"/>
      <c r="L43" s="2105" t="s">
        <v>1250</v>
      </c>
      <c r="M43" s="2105"/>
    </row>
    <row r="44" spans="1:13" s="7" customFormat="1" ht="32.25" customHeight="1" x14ac:dyDescent="0.25">
      <c r="A44" s="2106"/>
      <c r="B44" s="84" t="s">
        <v>1083</v>
      </c>
      <c r="C44" s="85" t="s">
        <v>1251</v>
      </c>
      <c r="D44" s="85" t="s">
        <v>1252</v>
      </c>
      <c r="E44" s="2105"/>
      <c r="F44" s="2105"/>
      <c r="G44" s="2105"/>
      <c r="H44" s="2105"/>
      <c r="I44" s="84" t="s">
        <v>1253</v>
      </c>
      <c r="J44" s="84" t="s">
        <v>1254</v>
      </c>
      <c r="K44" s="84" t="s">
        <v>1255</v>
      </c>
      <c r="L44" s="130" t="s">
        <v>1256</v>
      </c>
      <c r="M44" s="84" t="s">
        <v>1086</v>
      </c>
    </row>
    <row r="45" spans="1:13" s="7" customFormat="1" ht="15.75" x14ac:dyDescent="0.25">
      <c r="A45" s="13" t="s">
        <v>1087</v>
      </c>
      <c r="B45" s="13" t="s">
        <v>1088</v>
      </c>
      <c r="C45" s="13" t="s">
        <v>1089</v>
      </c>
      <c r="D45" s="13" t="s">
        <v>1090</v>
      </c>
      <c r="E45" s="10" t="s">
        <v>1091</v>
      </c>
      <c r="F45" s="13" t="s">
        <v>1092</v>
      </c>
      <c r="G45" s="14" t="s">
        <v>1093</v>
      </c>
      <c r="H45" s="13" t="s">
        <v>1094</v>
      </c>
      <c r="I45" s="13" t="s">
        <v>1095</v>
      </c>
      <c r="J45" s="13" t="s">
        <v>1096</v>
      </c>
      <c r="K45" s="13" t="s">
        <v>1097</v>
      </c>
      <c r="L45" s="90" t="s">
        <v>1098</v>
      </c>
      <c r="M45" s="13" t="s">
        <v>488</v>
      </c>
    </row>
    <row r="46" spans="1:13" ht="78.75" x14ac:dyDescent="0.25">
      <c r="A46" s="10">
        <v>3</v>
      </c>
      <c r="B46" s="134" t="s">
        <v>1110</v>
      </c>
      <c r="C46" s="19">
        <v>3</v>
      </c>
      <c r="D46" s="28" t="str">
        <f>'[1]RKP 2023'!D94</f>
        <v>: Penguatan Dan Peningkatan Kapasitas Tenaga Keamanan dan Ketertiban Oleh Pemerintah Desa( Pembentukan Tim Tanggap Bencana)</v>
      </c>
      <c r="E46" s="12"/>
      <c r="F46" s="28" t="s">
        <v>1203</v>
      </c>
      <c r="G46" s="4" t="str">
        <f>'[1]RKP 2023'!H116</f>
        <v>Desa Penatih Dangin Puri</v>
      </c>
      <c r="H46" s="18" t="s">
        <v>1144</v>
      </c>
      <c r="I46" s="19">
        <v>35</v>
      </c>
      <c r="J46" s="20"/>
      <c r="K46" s="20"/>
      <c r="L46" s="24" t="e">
        <f>#REF!</f>
        <v>#REF!</v>
      </c>
      <c r="M46" s="19" t="s">
        <v>1104</v>
      </c>
    </row>
    <row r="47" spans="1:13" ht="21.75" customHeight="1" x14ac:dyDescent="0.3">
      <c r="A47" s="2116" t="s">
        <v>1297</v>
      </c>
      <c r="B47" s="2116"/>
      <c r="C47" s="2116"/>
      <c r="D47" s="2116"/>
      <c r="E47" s="2116"/>
      <c r="F47" s="2116"/>
      <c r="G47" s="2116"/>
      <c r="H47" s="2116"/>
      <c r="I47" s="2116"/>
      <c r="J47" s="2116"/>
      <c r="K47" s="2116"/>
      <c r="L47" s="127" t="e">
        <f>L46</f>
        <v>#REF!</v>
      </c>
      <c r="M47" s="1"/>
    </row>
    <row r="48" spans="1:13" s="7" customFormat="1" ht="34.5" customHeight="1" x14ac:dyDescent="0.25">
      <c r="A48" s="2106" t="s">
        <v>1039</v>
      </c>
      <c r="B48" s="2106" t="s">
        <v>1074</v>
      </c>
      <c r="C48" s="2106"/>
      <c r="D48" s="2106"/>
      <c r="E48" s="2105" t="s">
        <v>1246</v>
      </c>
      <c r="F48" s="2105" t="s">
        <v>1247</v>
      </c>
      <c r="G48" s="2105" t="s">
        <v>1248</v>
      </c>
      <c r="H48" s="2105" t="s">
        <v>1249</v>
      </c>
      <c r="I48" s="2106" t="s">
        <v>1079</v>
      </c>
      <c r="J48" s="2106"/>
      <c r="K48" s="2106"/>
      <c r="L48" s="2105" t="s">
        <v>1250</v>
      </c>
      <c r="M48" s="2105"/>
    </row>
    <row r="49" spans="1:15" s="7" customFormat="1" ht="32.25" customHeight="1" x14ac:dyDescent="0.25">
      <c r="A49" s="2106"/>
      <c r="B49" s="84" t="s">
        <v>1083</v>
      </c>
      <c r="C49" s="85" t="s">
        <v>1251</v>
      </c>
      <c r="D49" s="85" t="s">
        <v>1252</v>
      </c>
      <c r="E49" s="2105"/>
      <c r="F49" s="2105"/>
      <c r="G49" s="2105"/>
      <c r="H49" s="2105"/>
      <c r="I49" s="84" t="s">
        <v>1253</v>
      </c>
      <c r="J49" s="84" t="s">
        <v>1254</v>
      </c>
      <c r="K49" s="84" t="s">
        <v>1255</v>
      </c>
      <c r="L49" s="130" t="s">
        <v>1256</v>
      </c>
      <c r="M49" s="84" t="s">
        <v>1086</v>
      </c>
    </row>
    <row r="50" spans="1:15" s="7" customFormat="1" ht="15.75" x14ac:dyDescent="0.25">
      <c r="A50" s="13" t="s">
        <v>1087</v>
      </c>
      <c r="B50" s="13" t="s">
        <v>1088</v>
      </c>
      <c r="C50" s="13" t="s">
        <v>1089</v>
      </c>
      <c r="D50" s="13" t="s">
        <v>1090</v>
      </c>
      <c r="E50" s="10" t="s">
        <v>1091</v>
      </c>
      <c r="F50" s="13" t="s">
        <v>1092</v>
      </c>
      <c r="G50" s="14" t="s">
        <v>1093</v>
      </c>
      <c r="H50" s="13" t="s">
        <v>1094</v>
      </c>
      <c r="I50" s="13" t="s">
        <v>1095</v>
      </c>
      <c r="J50" s="13" t="s">
        <v>1096</v>
      </c>
      <c r="K50" s="13" t="s">
        <v>1097</v>
      </c>
      <c r="L50" s="90" t="s">
        <v>1098</v>
      </c>
      <c r="M50" s="13" t="s">
        <v>488</v>
      </c>
    </row>
    <row r="51" spans="1:15" ht="80.25" customHeight="1" x14ac:dyDescent="0.25">
      <c r="A51" s="2112">
        <v>4</v>
      </c>
      <c r="B51" s="2114" t="s">
        <v>1399</v>
      </c>
      <c r="C51" s="19">
        <v>1</v>
      </c>
      <c r="D51" s="28" t="str">
        <f>'[1]BID IV'!B58</f>
        <v>: Peningkatan Produksi Tanaman Pangan ( Produk Unggulan Desa) Pelatihan Budidaya Jamur</v>
      </c>
      <c r="E51" s="12"/>
      <c r="F51" s="28" t="s">
        <v>1224</v>
      </c>
      <c r="G51" s="4" t="str">
        <f>'[1]RKP 2023'!H121</f>
        <v>Desa Penatih Dangin Puri</v>
      </c>
      <c r="H51" s="1" t="str">
        <f>'[1]RKP 2023'!I122</f>
        <v>1kali</v>
      </c>
      <c r="I51" s="34">
        <v>30</v>
      </c>
      <c r="J51" s="34"/>
      <c r="K51" s="34"/>
      <c r="L51" s="133">
        <f>'[1]RKP 2023'!L122</f>
        <v>26425000</v>
      </c>
      <c r="M51" s="19" t="s">
        <v>1104</v>
      </c>
    </row>
    <row r="52" spans="1:15" ht="80.25" customHeight="1" x14ac:dyDescent="0.25">
      <c r="A52" s="2113"/>
      <c r="B52" s="2115"/>
      <c r="C52" s="19">
        <v>2</v>
      </c>
      <c r="D52" s="28" t="str">
        <f>'[1]BID IV'!B110</f>
        <v>: Pelatihan Kelompok Madu Kele-Kele</v>
      </c>
      <c r="E52" s="12"/>
      <c r="F52" s="28" t="s">
        <v>1224</v>
      </c>
      <c r="G52" s="4" t="str">
        <f>'[1]RKP 2023'!H122</f>
        <v>Desa Penatih Dangin Puri</v>
      </c>
      <c r="H52" s="1" t="str">
        <f>'[1]RKP 2023'!I123</f>
        <v>1kali</v>
      </c>
      <c r="I52" s="34">
        <v>35</v>
      </c>
      <c r="J52" s="34"/>
      <c r="K52" s="34"/>
      <c r="L52" s="133">
        <f>'[1]RKP 2023'!L123</f>
        <v>20715000</v>
      </c>
      <c r="M52" s="19" t="s">
        <v>1104</v>
      </c>
    </row>
    <row r="53" spans="1:15" ht="80.25" customHeight="1" x14ac:dyDescent="0.25">
      <c r="A53" s="2113"/>
      <c r="B53" s="2115"/>
      <c r="C53" s="19">
        <v>3</v>
      </c>
      <c r="D53" s="28" t="str">
        <f>'[1]BID IV'!B162</f>
        <v>: Penguatan Ketahanan Pangan Tingkat Desa ( lumbung Desa dll)</v>
      </c>
      <c r="E53" s="12"/>
      <c r="F53" s="28" t="s">
        <v>1224</v>
      </c>
      <c r="G53" s="4" t="str">
        <f>'[1]RKP 2023'!H123</f>
        <v>Desa Penatih Dangin Puri</v>
      </c>
      <c r="H53" s="1" t="str">
        <f>'[1]RKP 2023'!I124</f>
        <v>1kali</v>
      </c>
      <c r="I53" s="34">
        <v>30</v>
      </c>
      <c r="J53" s="34"/>
      <c r="K53" s="34"/>
      <c r="L53" s="133">
        <f>'[1]RKP 2023'!L124</f>
        <v>51210000</v>
      </c>
      <c r="M53" s="19" t="s">
        <v>1104</v>
      </c>
    </row>
    <row r="54" spans="1:15" ht="80.25" customHeight="1" x14ac:dyDescent="0.25">
      <c r="A54" s="2113"/>
      <c r="B54" s="2115"/>
      <c r="C54" s="19">
        <v>4</v>
      </c>
      <c r="D54" s="28" t="str">
        <f>'[1]BID IV'!B380</f>
        <v xml:space="preserve">: Pelatihan/ Penyuluhan Pemberdayaan Perempuan (Pelatihan Pembuatan Jamu Tradisional  ) </v>
      </c>
      <c r="E54" s="12"/>
      <c r="F54" s="28" t="s">
        <v>1223</v>
      </c>
      <c r="G54" s="4" t="str">
        <f>'[1]RKP 2023'!H128</f>
        <v>Desa Penatih Dangin Puri</v>
      </c>
      <c r="H54" s="1" t="str">
        <f>'[1]RKP 2023'!I129</f>
        <v>1kali</v>
      </c>
      <c r="I54" s="34"/>
      <c r="J54" s="34">
        <v>32</v>
      </c>
      <c r="K54" s="34"/>
      <c r="L54" s="133">
        <f>'[1]RKP 2023'!L129</f>
        <v>4090000</v>
      </c>
      <c r="M54" s="19" t="s">
        <v>1104</v>
      </c>
    </row>
    <row r="55" spans="1:15" ht="80.25" customHeight="1" x14ac:dyDescent="0.25">
      <c r="A55" s="2113"/>
      <c r="B55" s="2115"/>
      <c r="C55" s="19">
        <v>5</v>
      </c>
      <c r="D55" s="28" t="str">
        <f>'[1]BID IV'!B513</f>
        <v>: Pelatihan Tukang (Pelatihan Baja Ringan)</v>
      </c>
      <c r="E55" s="12"/>
      <c r="F55" s="28" t="s">
        <v>1261</v>
      </c>
      <c r="G55" s="4" t="str">
        <f>'[1]RKP 2023'!H131</f>
        <v>Desa Penatih Dangin Puri</v>
      </c>
      <c r="H55" s="1" t="str">
        <f>'[1]RKP 2023'!I131</f>
        <v>1kali</v>
      </c>
      <c r="I55" s="34">
        <v>5</v>
      </c>
      <c r="J55" s="34"/>
      <c r="K55" s="34"/>
      <c r="L55" s="133">
        <f>'[1]RKP 2023'!L131</f>
        <v>9792000</v>
      </c>
      <c r="M55" s="19" t="s">
        <v>1104</v>
      </c>
    </row>
    <row r="56" spans="1:15" ht="80.25" customHeight="1" x14ac:dyDescent="0.25">
      <c r="A56" s="2113"/>
      <c r="B56" s="2115"/>
      <c r="C56" s="19">
        <v>6</v>
      </c>
      <c r="D56" s="82" t="str">
        <f>'[1]BID IV'!B582</f>
        <v>: Penyertaan Modal BUMDesa</v>
      </c>
      <c r="E56" s="12"/>
      <c r="F56" s="28" t="s">
        <v>1222</v>
      </c>
      <c r="G56" s="4" t="str">
        <f>'[1]RKP 2023'!H132</f>
        <v>Desa Penatih Dangin Puri</v>
      </c>
      <c r="H56" s="1" t="str">
        <f>'[1]RKP 2023'!I132</f>
        <v>1kali</v>
      </c>
      <c r="I56" s="106">
        <v>5</v>
      </c>
      <c r="J56" s="106">
        <v>3</v>
      </c>
      <c r="K56" s="34"/>
      <c r="L56" s="133">
        <f>'[1]RKP 2023'!L132</f>
        <v>30000000</v>
      </c>
      <c r="M56" s="19" t="s">
        <v>1104</v>
      </c>
    </row>
    <row r="57" spans="1:15" ht="80.25" customHeight="1" x14ac:dyDescent="0.25">
      <c r="A57" s="2113"/>
      <c r="B57" s="2115"/>
      <c r="C57" s="19">
        <v>7</v>
      </c>
      <c r="D57" s="125" t="str">
        <f>'[1]RKP 2023'!D121</f>
        <v>: Pelatihan untuk Perikanan Darat (Pelatihan Membuat Pakan Ikan Lele)  **</v>
      </c>
      <c r="E57" s="12"/>
      <c r="F57" s="28" t="s">
        <v>1224</v>
      </c>
      <c r="G57" s="4" t="str">
        <f>'[1]RKP 2023'!H121</f>
        <v>Desa Penatih Dangin Puri</v>
      </c>
      <c r="H57" s="1" t="str">
        <f>'[1]RKP 2023'!I121</f>
        <v>1kali</v>
      </c>
      <c r="I57" s="34">
        <v>50</v>
      </c>
      <c r="J57" s="34"/>
      <c r="K57" s="34"/>
      <c r="L57" s="133">
        <f>'[1]RKP 2023'!L121</f>
        <v>27128000</v>
      </c>
      <c r="M57" s="19" t="s">
        <v>1104</v>
      </c>
    </row>
    <row r="58" spans="1:15" ht="80.25" customHeight="1" x14ac:dyDescent="0.25">
      <c r="A58" s="140"/>
      <c r="B58" s="141"/>
      <c r="C58" s="19">
        <v>8</v>
      </c>
      <c r="D58" s="125" t="e">
        <f>'BID IV'!#REF!</f>
        <v>#REF!</v>
      </c>
      <c r="E58" s="12"/>
      <c r="F58" s="28" t="e">
        <f>#REF!</f>
        <v>#REF!</v>
      </c>
      <c r="G58" s="4" t="str">
        <f>'[1]RKP 2023'!H122</f>
        <v>Desa Penatih Dangin Puri</v>
      </c>
      <c r="H58" s="1" t="str">
        <f>'[1]RKP 2023'!I122</f>
        <v>1kali</v>
      </c>
      <c r="I58" s="34">
        <v>171</v>
      </c>
      <c r="J58" s="34"/>
      <c r="K58" s="34"/>
      <c r="L58" s="133" t="e">
        <f>'BID IV'!#REF!</f>
        <v>#REF!</v>
      </c>
      <c r="M58" s="19" t="s">
        <v>1104</v>
      </c>
    </row>
    <row r="59" spans="1:15" ht="21.75" customHeight="1" x14ac:dyDescent="0.3">
      <c r="A59" s="2116" t="s">
        <v>1298</v>
      </c>
      <c r="B59" s="2116"/>
      <c r="C59" s="2116"/>
      <c r="D59" s="2116"/>
      <c r="E59" s="2116"/>
      <c r="F59" s="2116"/>
      <c r="G59" s="2116"/>
      <c r="H59" s="2116"/>
      <c r="I59" s="2116"/>
      <c r="J59" s="2116"/>
      <c r="K59" s="2116"/>
      <c r="L59" s="127" t="e">
        <f>SUM(L51:L58)</f>
        <v>#REF!</v>
      </c>
      <c r="M59" s="1"/>
    </row>
    <row r="60" spans="1:15" ht="40.5" customHeight="1" x14ac:dyDescent="0.4">
      <c r="A60" s="2110" t="s">
        <v>1284</v>
      </c>
      <c r="B60" s="2110"/>
      <c r="C60" s="2110"/>
      <c r="D60" s="2110"/>
      <c r="E60" s="2110"/>
      <c r="F60" s="2110"/>
      <c r="G60" s="2110"/>
      <c r="H60" s="2110"/>
      <c r="I60" s="2110"/>
      <c r="J60" s="2110"/>
      <c r="K60" s="2110"/>
      <c r="L60" s="128" t="e">
        <f>L59+L42+L16+L47</f>
        <v>#REF!</v>
      </c>
      <c r="M60" s="1"/>
    </row>
    <row r="61" spans="1:15" s="7" customFormat="1" ht="18.75" x14ac:dyDescent="0.3">
      <c r="B61" s="2108"/>
      <c r="C61" s="2108"/>
      <c r="D61" s="2108"/>
      <c r="H61" s="8"/>
      <c r="J61" s="9"/>
      <c r="K61" s="2111"/>
      <c r="L61" s="2111"/>
      <c r="M61" s="2111"/>
      <c r="O61" s="6"/>
    </row>
    <row r="62" spans="1:15" s="7" customFormat="1" ht="15.75" x14ac:dyDescent="0.25">
      <c r="B62" s="2108"/>
      <c r="C62" s="2108"/>
      <c r="D62" s="2108"/>
      <c r="H62" s="8"/>
      <c r="J62" s="9"/>
      <c r="L62" s="43"/>
      <c r="O62" s="6"/>
    </row>
    <row r="63" spans="1:15" s="7" customFormat="1" ht="15.75" x14ac:dyDescent="0.25">
      <c r="D63" s="8"/>
      <c r="H63" s="8"/>
      <c r="J63" s="9"/>
      <c r="L63" s="43"/>
      <c r="O63" s="6"/>
    </row>
    <row r="64" spans="1:15" s="7" customFormat="1" ht="18.75" x14ac:dyDescent="0.3">
      <c r="B64" s="2108" t="s">
        <v>1115</v>
      </c>
      <c r="C64" s="2108"/>
      <c r="D64" s="2108"/>
      <c r="H64" s="8"/>
      <c r="I64" s="2109" t="s">
        <v>1400</v>
      </c>
      <c r="J64" s="2109"/>
      <c r="K64" s="2109"/>
      <c r="L64" s="2109"/>
      <c r="M64" s="2109"/>
      <c r="O64" s="6"/>
    </row>
    <row r="65" spans="2:15" s="7" customFormat="1" ht="15.75" x14ac:dyDescent="0.25">
      <c r="B65" s="2108" t="s">
        <v>1405</v>
      </c>
      <c r="C65" s="2108"/>
      <c r="D65" s="2108"/>
      <c r="H65" s="8"/>
      <c r="I65" s="2096" t="s">
        <v>1116</v>
      </c>
      <c r="J65" s="2096"/>
      <c r="K65" s="2096"/>
      <c r="L65" s="2096"/>
      <c r="M65" s="2096"/>
      <c r="O65" s="6"/>
    </row>
    <row r="66" spans="2:15" s="7" customFormat="1" ht="15.75" x14ac:dyDescent="0.25">
      <c r="D66" s="8"/>
      <c r="H66" s="8"/>
      <c r="I66" s="2096" t="s">
        <v>1401</v>
      </c>
      <c r="J66" s="2096"/>
      <c r="K66" s="2096"/>
      <c r="L66" s="2096"/>
      <c r="M66" s="2096"/>
      <c r="O66" s="6"/>
    </row>
    <row r="67" spans="2:15" s="7" customFormat="1" ht="80.25" customHeight="1" x14ac:dyDescent="0.25">
      <c r="D67" s="8"/>
      <c r="H67" s="8"/>
      <c r="J67" s="9"/>
      <c r="L67" s="43"/>
      <c r="O67" s="6"/>
    </row>
    <row r="68" spans="2:15" s="7" customFormat="1" ht="15.75" x14ac:dyDescent="0.25">
      <c r="D68" s="8"/>
      <c r="H68" s="8"/>
      <c r="J68" s="9"/>
      <c r="L68" s="43"/>
      <c r="O68" s="6"/>
    </row>
    <row r="69" spans="2:15" s="7" customFormat="1" ht="15.75" x14ac:dyDescent="0.25">
      <c r="D69" s="8"/>
      <c r="H69" s="8"/>
      <c r="J69" s="9"/>
      <c r="L69" s="43"/>
      <c r="O69" s="6"/>
    </row>
    <row r="70" spans="2:15" s="7" customFormat="1" ht="15.75" x14ac:dyDescent="0.25">
      <c r="B70" s="2108" t="s">
        <v>1117</v>
      </c>
      <c r="C70" s="2108"/>
      <c r="D70" s="2108"/>
      <c r="H70" s="8"/>
      <c r="I70" s="2096" t="s">
        <v>1118</v>
      </c>
      <c r="J70" s="2096"/>
      <c r="K70" s="2096"/>
      <c r="L70" s="2096"/>
      <c r="M70" s="2096"/>
      <c r="O70" s="6"/>
    </row>
  </sheetData>
  <mergeCells count="55">
    <mergeCell ref="A1:M1"/>
    <mergeCell ref="A2:M2"/>
    <mergeCell ref="A9:A10"/>
    <mergeCell ref="B9:D9"/>
    <mergeCell ref="E9:E10"/>
    <mergeCell ref="F9:F10"/>
    <mergeCell ref="G9:G10"/>
    <mergeCell ref="H9:H10"/>
    <mergeCell ref="I9:K9"/>
    <mergeCell ref="L9:M9"/>
    <mergeCell ref="A47:K47"/>
    <mergeCell ref="A12:A14"/>
    <mergeCell ref="B12:B14"/>
    <mergeCell ref="A16:K16"/>
    <mergeCell ref="A17:A18"/>
    <mergeCell ref="B17:D17"/>
    <mergeCell ref="E17:E18"/>
    <mergeCell ref="F17:F18"/>
    <mergeCell ref="G17:G18"/>
    <mergeCell ref="H17:H18"/>
    <mergeCell ref="I17:K17"/>
    <mergeCell ref="L17:M17"/>
    <mergeCell ref="A20:A41"/>
    <mergeCell ref="B20:B41"/>
    <mergeCell ref="A42:K42"/>
    <mergeCell ref="A43:A44"/>
    <mergeCell ref="B43:D43"/>
    <mergeCell ref="E43:E44"/>
    <mergeCell ref="F43:F44"/>
    <mergeCell ref="G43:G44"/>
    <mergeCell ref="H43:H44"/>
    <mergeCell ref="I43:K43"/>
    <mergeCell ref="L43:M43"/>
    <mergeCell ref="H48:H49"/>
    <mergeCell ref="I48:K48"/>
    <mergeCell ref="L48:M48"/>
    <mergeCell ref="A60:K60"/>
    <mergeCell ref="I66:M66"/>
    <mergeCell ref="B61:D61"/>
    <mergeCell ref="K61:M61"/>
    <mergeCell ref="A48:A49"/>
    <mergeCell ref="B48:D48"/>
    <mergeCell ref="E48:E49"/>
    <mergeCell ref="F48:F49"/>
    <mergeCell ref="G48:G49"/>
    <mergeCell ref="A51:A57"/>
    <mergeCell ref="B51:B57"/>
    <mergeCell ref="A59:K59"/>
    <mergeCell ref="I70:M70"/>
    <mergeCell ref="B70:D70"/>
    <mergeCell ref="B62:D62"/>
    <mergeCell ref="B65:D65"/>
    <mergeCell ref="B64:D64"/>
    <mergeCell ref="I64:M64"/>
    <mergeCell ref="I65:M6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41"/>
  <sheetViews>
    <sheetView topLeftCell="A9" zoomScale="71" zoomScaleNormal="71" workbookViewId="0">
      <pane ySplit="2070" activePane="bottomLeft"/>
      <selection activeCell="D10" sqref="D1:J1048576"/>
      <selection pane="bottomLeft" activeCell="A9" sqref="A9:A11"/>
    </sheetView>
  </sheetViews>
  <sheetFormatPr defaultRowHeight="15" x14ac:dyDescent="0.25"/>
  <cols>
    <col min="1" max="1" width="14.85546875" customWidth="1"/>
    <col min="2" max="2" width="21.5703125" customWidth="1"/>
    <col min="3" max="3" width="27.28515625" customWidth="1"/>
    <col min="4" max="4" width="26.5703125" style="83" customWidth="1"/>
    <col min="5" max="5" width="23.5703125" style="83" customWidth="1"/>
    <col min="6" max="6" width="24.140625" style="83" customWidth="1"/>
    <col min="7" max="7" width="24.42578125" style="83" customWidth="1"/>
    <col min="8" max="8" width="20.5703125" style="83" customWidth="1"/>
    <col min="9" max="9" width="20.85546875" style="83" customWidth="1"/>
    <col min="10" max="10" width="14.42578125" style="83" customWidth="1"/>
    <col min="11" max="11" width="23.140625" bestFit="1" customWidth="1"/>
    <col min="12" max="12" width="25.42578125" customWidth="1"/>
    <col min="13" max="13" width="18.5703125" customWidth="1"/>
    <col min="14" max="14" width="16.85546875" customWidth="1"/>
  </cols>
  <sheetData>
    <row r="1" spans="1:13" ht="18.75" x14ac:dyDescent="0.3">
      <c r="A1" s="2119" t="s">
        <v>1387</v>
      </c>
      <c r="B1" s="2119"/>
      <c r="C1" s="2119"/>
      <c r="D1" s="2119"/>
      <c r="E1" s="2119"/>
      <c r="F1" s="2119"/>
      <c r="G1" s="2119"/>
      <c r="H1" s="2119"/>
      <c r="I1" s="2119"/>
      <c r="J1" s="2119"/>
      <c r="K1" s="83"/>
    </row>
    <row r="2" spans="1:13" ht="18.75" x14ac:dyDescent="0.3">
      <c r="A2" s="2119" t="s">
        <v>1226</v>
      </c>
      <c r="B2" s="2119"/>
      <c r="C2" s="2119"/>
      <c r="D2" s="2119"/>
      <c r="E2" s="2119"/>
      <c r="F2" s="2119"/>
      <c r="G2" s="2119"/>
      <c r="H2" s="2119"/>
      <c r="I2" s="2119"/>
      <c r="J2" s="2119"/>
      <c r="K2" s="83"/>
    </row>
    <row r="3" spans="1:13" ht="15.75" x14ac:dyDescent="0.25">
      <c r="A3" s="7"/>
      <c r="B3" s="7"/>
      <c r="C3" s="7"/>
      <c r="D3" s="88"/>
      <c r="E3" s="88"/>
      <c r="F3" s="88"/>
      <c r="G3" s="88"/>
      <c r="H3" s="88"/>
      <c r="I3" s="88"/>
      <c r="J3" s="88"/>
      <c r="K3" s="83"/>
    </row>
    <row r="4" spans="1:13" ht="15.75" x14ac:dyDescent="0.25">
      <c r="A4" s="46" t="s">
        <v>1066</v>
      </c>
      <c r="B4" s="46" t="s">
        <v>1067</v>
      </c>
      <c r="C4" s="7"/>
      <c r="D4" s="88"/>
      <c r="E4" s="88"/>
      <c r="F4" s="88"/>
      <c r="G4" s="88"/>
      <c r="H4" s="88"/>
      <c r="I4" s="88"/>
      <c r="J4" s="88"/>
      <c r="K4" s="83"/>
    </row>
    <row r="5" spans="1:13" ht="15.75" x14ac:dyDescent="0.25">
      <c r="A5" s="46" t="s">
        <v>1068</v>
      </c>
      <c r="B5" s="46" t="s">
        <v>1069</v>
      </c>
      <c r="C5" s="7"/>
      <c r="D5" s="88"/>
      <c r="E5" s="88"/>
      <c r="F5" s="88"/>
      <c r="G5" s="88"/>
      <c r="H5" s="88"/>
      <c r="I5" s="88"/>
      <c r="J5" s="88"/>
      <c r="K5" s="83"/>
    </row>
    <row r="6" spans="1:13" ht="15.75" x14ac:dyDescent="0.25">
      <c r="A6" s="46" t="s">
        <v>1070</v>
      </c>
      <c r="B6" s="46" t="s">
        <v>1071</v>
      </c>
      <c r="C6" s="7"/>
      <c r="D6" s="88"/>
      <c r="E6" s="88"/>
      <c r="F6" s="88"/>
      <c r="G6" s="88"/>
      <c r="H6" s="88"/>
      <c r="I6" s="88"/>
      <c r="J6" s="88"/>
      <c r="K6" s="83"/>
    </row>
    <row r="7" spans="1:13" ht="15.75" x14ac:dyDescent="0.25">
      <c r="A7" s="46" t="s">
        <v>1072</v>
      </c>
      <c r="B7" s="46" t="s">
        <v>1073</v>
      </c>
      <c r="C7" s="7"/>
      <c r="D7" s="88"/>
      <c r="E7" s="88"/>
      <c r="F7" s="88"/>
      <c r="G7" s="88"/>
      <c r="H7" s="88"/>
      <c r="I7" s="88"/>
      <c r="J7" s="88"/>
      <c r="K7" s="83"/>
    </row>
    <row r="8" spans="1:13" ht="15.75" x14ac:dyDescent="0.25">
      <c r="A8" s="7"/>
      <c r="B8" s="7"/>
      <c r="C8" s="7"/>
      <c r="D8" s="88"/>
      <c r="E8" s="88"/>
      <c r="F8" s="88"/>
      <c r="G8" s="88"/>
      <c r="H8" s="88"/>
      <c r="I8" s="88"/>
      <c r="J8" s="88"/>
      <c r="K8" s="83"/>
    </row>
    <row r="9" spans="1:13" ht="18.75" customHeight="1" x14ac:dyDescent="0.25">
      <c r="A9" s="2123" t="s">
        <v>1039</v>
      </c>
      <c r="B9" s="2123" t="s">
        <v>1083</v>
      </c>
      <c r="C9" s="2126" t="s">
        <v>1388</v>
      </c>
      <c r="D9" s="2129" t="s">
        <v>1389</v>
      </c>
      <c r="E9" s="2129"/>
      <c r="F9" s="2129"/>
      <c r="G9" s="2129"/>
      <c r="H9" s="2129"/>
      <c r="I9" s="2129"/>
      <c r="J9" s="2129"/>
      <c r="K9" s="3"/>
    </row>
    <row r="10" spans="1:13" ht="66.75" customHeight="1" x14ac:dyDescent="0.25">
      <c r="A10" s="2124"/>
      <c r="B10" s="2124"/>
      <c r="C10" s="2127"/>
      <c r="D10" s="2130" t="s">
        <v>1390</v>
      </c>
      <c r="E10" s="2132" t="s">
        <v>1391</v>
      </c>
      <c r="F10" s="2132" t="s">
        <v>1392</v>
      </c>
      <c r="G10" s="2132" t="s">
        <v>1393</v>
      </c>
      <c r="H10" s="2134" t="s">
        <v>1394</v>
      </c>
      <c r="I10" s="2135"/>
      <c r="J10" s="2132" t="s">
        <v>1395</v>
      </c>
      <c r="K10" s="3"/>
      <c r="L10" s="32"/>
    </row>
    <row r="11" spans="1:13" ht="30.75" customHeight="1" x14ac:dyDescent="0.25">
      <c r="A11" s="2125"/>
      <c r="B11" s="2125"/>
      <c r="C11" s="2128"/>
      <c r="D11" s="2131"/>
      <c r="E11" s="2133"/>
      <c r="F11" s="2133"/>
      <c r="G11" s="2133"/>
      <c r="H11" s="136" t="s">
        <v>1396</v>
      </c>
      <c r="I11" s="136" t="s">
        <v>1276</v>
      </c>
      <c r="J11" s="2133"/>
      <c r="K11" s="3"/>
    </row>
    <row r="12" spans="1:13" ht="15.75" x14ac:dyDescent="0.25">
      <c r="A12" s="114" t="s">
        <v>1087</v>
      </c>
      <c r="B12" s="114" t="s">
        <v>1088</v>
      </c>
      <c r="C12" s="114" t="s">
        <v>1089</v>
      </c>
      <c r="D12" s="135" t="s">
        <v>1090</v>
      </c>
      <c r="E12" s="135" t="s">
        <v>1091</v>
      </c>
      <c r="F12" s="135" t="s">
        <v>1092</v>
      </c>
      <c r="G12" s="135" t="s">
        <v>1093</v>
      </c>
      <c r="H12" s="135" t="s">
        <v>1094</v>
      </c>
      <c r="I12" s="135" t="s">
        <v>1095</v>
      </c>
      <c r="J12" s="135" t="s">
        <v>1096</v>
      </c>
      <c r="K12" s="115"/>
    </row>
    <row r="13" spans="1:13" ht="45" customHeight="1" x14ac:dyDescent="0.25">
      <c r="A13" s="2112" t="s">
        <v>1361</v>
      </c>
      <c r="B13" s="2120" t="s">
        <v>57</v>
      </c>
      <c r="C13" s="4" t="s">
        <v>8</v>
      </c>
      <c r="D13" s="91">
        <v>2300000</v>
      </c>
      <c r="E13" s="91"/>
      <c r="F13" s="91">
        <f>'[2]BID I'!F14</f>
        <v>48000000</v>
      </c>
      <c r="G13" s="91">
        <v>111920000</v>
      </c>
      <c r="H13" s="91"/>
      <c r="I13" s="91"/>
      <c r="J13" s="91"/>
      <c r="K13" s="3">
        <f>SUM(D13:J13)</f>
        <v>162220000</v>
      </c>
      <c r="L13" s="36">
        <v>162220000</v>
      </c>
      <c r="M13" s="32">
        <f>K13-L13</f>
        <v>0</v>
      </c>
    </row>
    <row r="14" spans="1:13" ht="45" customHeight="1" x14ac:dyDescent="0.25">
      <c r="A14" s="2113"/>
      <c r="B14" s="2118"/>
      <c r="C14" s="4" t="s">
        <v>36</v>
      </c>
      <c r="D14" s="91">
        <f>2000000+10800000+12800000</f>
        <v>25600000</v>
      </c>
      <c r="E14" s="91"/>
      <c r="F14" s="91">
        <f>SUM('[2]BID I'!F42:F44)</f>
        <v>436800000</v>
      </c>
      <c r="G14" s="91">
        <v>503354780</v>
      </c>
      <c r="H14" s="91"/>
      <c r="I14" s="91"/>
      <c r="J14" s="91"/>
      <c r="K14" s="3">
        <f>SUM(D14:J14)</f>
        <v>965754780</v>
      </c>
      <c r="L14" s="36">
        <v>965754780</v>
      </c>
      <c r="M14" s="32">
        <f t="shared" ref="M14:M43" si="0">K14-L14</f>
        <v>0</v>
      </c>
    </row>
    <row r="15" spans="1:13" ht="63" customHeight="1" x14ac:dyDescent="0.25">
      <c r="A15" s="2113"/>
      <c r="B15" s="2118"/>
      <c r="C15" s="4" t="s">
        <v>59</v>
      </c>
      <c r="D15" s="91"/>
      <c r="E15" s="91"/>
      <c r="F15" s="91">
        <f>SUM('[2]BID I'!F81:F85)</f>
        <v>5470104</v>
      </c>
      <c r="G15" s="91">
        <v>63096924</v>
      </c>
      <c r="H15" s="91"/>
      <c r="I15" s="91"/>
      <c r="J15" s="91"/>
      <c r="K15" s="3">
        <f t="shared" ref="K15:K78" si="1">SUM(D15:J15)</f>
        <v>68567028</v>
      </c>
      <c r="L15" s="36">
        <v>68567028</v>
      </c>
      <c r="M15" s="32">
        <f t="shared" si="0"/>
        <v>0</v>
      </c>
    </row>
    <row r="16" spans="1:13" ht="45" customHeight="1" x14ac:dyDescent="0.25">
      <c r="A16" s="2113"/>
      <c r="B16" s="2118"/>
      <c r="C16" s="4" t="s">
        <v>82</v>
      </c>
      <c r="D16" s="91"/>
      <c r="E16" s="91"/>
      <c r="F16" s="91">
        <v>451726861</v>
      </c>
      <c r="G16" s="91"/>
      <c r="H16" s="91"/>
      <c r="I16" s="91"/>
      <c r="J16" s="91"/>
      <c r="K16" s="3">
        <f t="shared" si="1"/>
        <v>451726861</v>
      </c>
      <c r="L16" s="36">
        <v>451726861</v>
      </c>
      <c r="M16" s="32">
        <f t="shared" si="0"/>
        <v>0</v>
      </c>
    </row>
    <row r="17" spans="1:13" ht="45" customHeight="1" x14ac:dyDescent="0.25">
      <c r="A17" s="2113"/>
      <c r="B17" s="2118"/>
      <c r="C17" s="4" t="s">
        <v>475</v>
      </c>
      <c r="D17" s="91"/>
      <c r="E17" s="91"/>
      <c r="F17" s="91">
        <v>18540000</v>
      </c>
      <c r="G17" s="91"/>
      <c r="H17" s="91"/>
      <c r="I17" s="91"/>
      <c r="J17" s="91"/>
      <c r="K17" s="3">
        <f t="shared" si="1"/>
        <v>18540000</v>
      </c>
      <c r="L17" s="36">
        <f t="shared" ref="L17:L33" si="2">SUM(D17:J17)</f>
        <v>18540000</v>
      </c>
      <c r="M17" s="32">
        <f t="shared" si="0"/>
        <v>0</v>
      </c>
    </row>
    <row r="18" spans="1:13" ht="45" customHeight="1" x14ac:dyDescent="0.25">
      <c r="A18" s="2113"/>
      <c r="B18" s="2118"/>
      <c r="C18" s="4" t="s">
        <v>248</v>
      </c>
      <c r="D18" s="91"/>
      <c r="E18" s="91"/>
      <c r="F18" s="91"/>
      <c r="G18" s="91">
        <v>425900000</v>
      </c>
      <c r="H18" s="91"/>
      <c r="I18" s="91"/>
      <c r="J18" s="91"/>
      <c r="K18" s="3">
        <f t="shared" si="1"/>
        <v>425900000</v>
      </c>
      <c r="L18" s="36">
        <f>SUM(D18:J18)</f>
        <v>425900000</v>
      </c>
      <c r="M18" s="32">
        <f t="shared" si="0"/>
        <v>0</v>
      </c>
    </row>
    <row r="19" spans="1:13" ht="45" customHeight="1" x14ac:dyDescent="0.25">
      <c r="A19" s="2113"/>
      <c r="B19" s="2118"/>
      <c r="C19" s="4" t="s">
        <v>264</v>
      </c>
      <c r="D19" s="91"/>
      <c r="E19" s="91"/>
      <c r="F19" s="91">
        <v>15759000</v>
      </c>
      <c r="G19" s="91"/>
      <c r="H19" s="91"/>
      <c r="I19" s="91"/>
      <c r="J19" s="91"/>
      <c r="K19" s="3">
        <f t="shared" si="1"/>
        <v>15759000</v>
      </c>
      <c r="L19" s="36">
        <f t="shared" si="2"/>
        <v>15759000</v>
      </c>
      <c r="M19" s="32">
        <f t="shared" si="0"/>
        <v>0</v>
      </c>
    </row>
    <row r="20" spans="1:13" ht="45" customHeight="1" x14ac:dyDescent="0.25">
      <c r="A20" s="2113"/>
      <c r="B20" s="2118"/>
      <c r="C20" s="4" t="s">
        <v>286</v>
      </c>
      <c r="D20" s="91"/>
      <c r="E20" s="91"/>
      <c r="F20" s="91">
        <v>12400000</v>
      </c>
      <c r="G20" s="91"/>
      <c r="H20" s="91"/>
      <c r="I20" s="91"/>
      <c r="J20" s="91"/>
      <c r="K20" s="3">
        <f t="shared" si="1"/>
        <v>12400000</v>
      </c>
      <c r="L20" s="36">
        <f t="shared" si="2"/>
        <v>12400000</v>
      </c>
      <c r="M20" s="32">
        <f t="shared" si="0"/>
        <v>0</v>
      </c>
    </row>
    <row r="21" spans="1:13" ht="45" customHeight="1" x14ac:dyDescent="0.25">
      <c r="A21" s="2113"/>
      <c r="B21" s="2118"/>
      <c r="C21" s="4" t="s">
        <v>301</v>
      </c>
      <c r="D21" s="91"/>
      <c r="E21" s="91"/>
      <c r="F21" s="91">
        <v>428378400</v>
      </c>
      <c r="G21" s="91"/>
      <c r="H21" s="91"/>
      <c r="I21" s="91"/>
      <c r="J21" s="91"/>
      <c r="K21" s="3">
        <f t="shared" si="1"/>
        <v>428378400</v>
      </c>
      <c r="L21" s="36">
        <f t="shared" si="2"/>
        <v>428378400</v>
      </c>
      <c r="M21" s="32">
        <f t="shared" si="0"/>
        <v>0</v>
      </c>
    </row>
    <row r="22" spans="1:13" ht="45" customHeight="1" x14ac:dyDescent="0.25">
      <c r="A22" s="2113"/>
      <c r="B22" s="2118"/>
      <c r="C22" s="4" t="s">
        <v>1354</v>
      </c>
      <c r="D22" s="91"/>
      <c r="E22" s="91"/>
      <c r="F22" s="91">
        <v>3790000</v>
      </c>
      <c r="G22" s="91"/>
      <c r="H22" s="91"/>
      <c r="I22" s="91"/>
      <c r="J22" s="91"/>
      <c r="K22" s="3">
        <f t="shared" si="1"/>
        <v>3790000</v>
      </c>
      <c r="L22" s="36">
        <f t="shared" si="2"/>
        <v>3790000</v>
      </c>
      <c r="M22" s="32">
        <f t="shared" si="0"/>
        <v>0</v>
      </c>
    </row>
    <row r="23" spans="1:13" ht="36" customHeight="1" x14ac:dyDescent="0.25">
      <c r="A23" s="2113"/>
      <c r="B23" s="2118"/>
      <c r="C23" s="4" t="s">
        <v>482</v>
      </c>
      <c r="D23" s="91">
        <v>30804640.5</v>
      </c>
      <c r="E23" s="91"/>
      <c r="F23" s="91"/>
      <c r="G23" s="91"/>
      <c r="H23" s="91"/>
      <c r="I23" s="91"/>
      <c r="J23" s="91"/>
      <c r="K23" s="3">
        <f t="shared" si="1"/>
        <v>30804640.5</v>
      </c>
      <c r="L23" s="36">
        <f t="shared" si="2"/>
        <v>30804640.5</v>
      </c>
      <c r="M23" s="32">
        <f t="shared" si="0"/>
        <v>0</v>
      </c>
    </row>
    <row r="24" spans="1:13" s="116" customFormat="1" ht="45" customHeight="1" x14ac:dyDescent="0.25">
      <c r="A24" s="2113"/>
      <c r="B24" s="2118"/>
      <c r="C24" s="4" t="s">
        <v>490</v>
      </c>
      <c r="D24" s="91"/>
      <c r="E24" s="91"/>
      <c r="F24" s="91"/>
      <c r="G24" s="91"/>
      <c r="H24" s="91"/>
      <c r="I24" s="91"/>
      <c r="J24" s="91">
        <v>72000</v>
      </c>
      <c r="K24" s="3">
        <f t="shared" si="1"/>
        <v>72000</v>
      </c>
      <c r="L24" s="36">
        <f t="shared" si="2"/>
        <v>72000</v>
      </c>
      <c r="M24" s="32">
        <f t="shared" si="0"/>
        <v>0</v>
      </c>
    </row>
    <row r="25" spans="1:13" s="116" customFormat="1" ht="49.5" customHeight="1" x14ac:dyDescent="0.25">
      <c r="A25" s="2113"/>
      <c r="B25" s="2118"/>
      <c r="C25" s="4" t="s">
        <v>539</v>
      </c>
      <c r="D25" s="91"/>
      <c r="E25" s="91"/>
      <c r="F25" s="91"/>
      <c r="G25" s="91"/>
      <c r="H25" s="91"/>
      <c r="I25" s="91">
        <v>18000000</v>
      </c>
      <c r="J25" s="91"/>
      <c r="K25" s="3">
        <f t="shared" si="1"/>
        <v>18000000</v>
      </c>
      <c r="L25" s="36">
        <f t="shared" si="2"/>
        <v>18000000</v>
      </c>
      <c r="M25" s="32">
        <f t="shared" si="0"/>
        <v>0</v>
      </c>
    </row>
    <row r="26" spans="1:13" s="116" customFormat="1" ht="46.5" customHeight="1" x14ac:dyDescent="0.25">
      <c r="A26" s="2113"/>
      <c r="B26" s="2118"/>
      <c r="C26" s="4" t="s">
        <v>421</v>
      </c>
      <c r="D26" s="91"/>
      <c r="E26" s="91"/>
      <c r="F26" s="91">
        <v>385550000</v>
      </c>
      <c r="G26" s="91"/>
      <c r="H26" s="91"/>
      <c r="I26" s="91"/>
      <c r="J26" s="91"/>
      <c r="K26" s="3">
        <f t="shared" si="1"/>
        <v>385550000</v>
      </c>
      <c r="L26" s="36">
        <f t="shared" si="2"/>
        <v>385550000</v>
      </c>
      <c r="M26" s="32">
        <f t="shared" si="0"/>
        <v>0</v>
      </c>
    </row>
    <row r="27" spans="1:13" s="116" customFormat="1" ht="45" customHeight="1" x14ac:dyDescent="0.25">
      <c r="A27" s="2113"/>
      <c r="B27" s="2118"/>
      <c r="C27" s="4" t="s">
        <v>544</v>
      </c>
      <c r="D27" s="91"/>
      <c r="E27" s="91"/>
      <c r="F27" s="91">
        <v>18971500</v>
      </c>
      <c r="G27" s="91"/>
      <c r="H27" s="91"/>
      <c r="I27" s="91"/>
      <c r="J27" s="91"/>
      <c r="K27" s="3">
        <f t="shared" si="1"/>
        <v>18971500</v>
      </c>
      <c r="L27" s="36">
        <f t="shared" si="2"/>
        <v>18971500</v>
      </c>
      <c r="M27" s="32">
        <f t="shared" si="0"/>
        <v>0</v>
      </c>
    </row>
    <row r="28" spans="1:13" s="116" customFormat="1" ht="45" customHeight="1" x14ac:dyDescent="0.25">
      <c r="A28" s="2113"/>
      <c r="B28" s="2118"/>
      <c r="C28" s="4" t="s">
        <v>551</v>
      </c>
      <c r="D28" s="91"/>
      <c r="E28" s="91"/>
      <c r="F28" s="91">
        <v>20237000</v>
      </c>
      <c r="G28" s="91"/>
      <c r="H28" s="91"/>
      <c r="I28" s="91"/>
      <c r="J28" s="91"/>
      <c r="K28" s="3">
        <f t="shared" si="1"/>
        <v>20237000</v>
      </c>
      <c r="L28" s="36">
        <f t="shared" si="2"/>
        <v>20237000</v>
      </c>
      <c r="M28" s="32">
        <f t="shared" si="0"/>
        <v>0</v>
      </c>
    </row>
    <row r="29" spans="1:13" s="116" customFormat="1" ht="63" customHeight="1" x14ac:dyDescent="0.25">
      <c r="A29" s="2113"/>
      <c r="B29" s="2118"/>
      <c r="C29" s="4" t="s">
        <v>552</v>
      </c>
      <c r="D29" s="91"/>
      <c r="E29" s="91"/>
      <c r="F29" s="91">
        <v>15741000</v>
      </c>
      <c r="G29" s="91"/>
      <c r="H29" s="91"/>
      <c r="I29" s="91"/>
      <c r="J29" s="91"/>
      <c r="K29" s="3">
        <f t="shared" si="1"/>
        <v>15741000</v>
      </c>
      <c r="L29" s="36">
        <f t="shared" si="2"/>
        <v>15741000</v>
      </c>
      <c r="M29" s="32">
        <f t="shared" si="0"/>
        <v>0</v>
      </c>
    </row>
    <row r="30" spans="1:13" ht="59.25" customHeight="1" x14ac:dyDescent="0.25">
      <c r="A30" s="2113"/>
      <c r="B30" s="2118"/>
      <c r="C30" s="4" t="s">
        <v>553</v>
      </c>
      <c r="D30" s="91"/>
      <c r="E30" s="91"/>
      <c r="F30" s="91">
        <v>15994560</v>
      </c>
      <c r="G30" s="91"/>
      <c r="H30" s="91"/>
      <c r="I30" s="91"/>
      <c r="J30" s="91"/>
      <c r="K30" s="3">
        <f t="shared" si="1"/>
        <v>15994560</v>
      </c>
      <c r="L30" s="36">
        <f t="shared" si="2"/>
        <v>15994560</v>
      </c>
      <c r="M30" s="32">
        <f t="shared" si="0"/>
        <v>0</v>
      </c>
    </row>
    <row r="31" spans="1:13" ht="60.75" customHeight="1" x14ac:dyDescent="0.25">
      <c r="A31" s="2113"/>
      <c r="B31" s="2118"/>
      <c r="C31" s="4" t="s">
        <v>554</v>
      </c>
      <c r="D31" s="91"/>
      <c r="E31" s="91"/>
      <c r="F31" s="91">
        <v>33606000</v>
      </c>
      <c r="G31" s="91"/>
      <c r="H31" s="91"/>
      <c r="I31" s="91"/>
      <c r="J31" s="91"/>
      <c r="K31" s="3">
        <f t="shared" si="1"/>
        <v>33606000</v>
      </c>
      <c r="L31" s="36">
        <f t="shared" si="2"/>
        <v>33606000</v>
      </c>
      <c r="M31" s="32">
        <f t="shared" si="0"/>
        <v>0</v>
      </c>
    </row>
    <row r="32" spans="1:13" s="116" customFormat="1" ht="76.5" customHeight="1" x14ac:dyDescent="0.25">
      <c r="A32" s="2113"/>
      <c r="B32" s="2118"/>
      <c r="C32" s="4" t="s">
        <v>330</v>
      </c>
      <c r="D32" s="91"/>
      <c r="E32" s="91"/>
      <c r="F32" s="91"/>
      <c r="G32" s="91">
        <v>51506000</v>
      </c>
      <c r="H32" s="91"/>
      <c r="I32" s="91"/>
      <c r="J32" s="91"/>
      <c r="K32" s="3">
        <f t="shared" si="1"/>
        <v>51506000</v>
      </c>
      <c r="L32" s="36">
        <f t="shared" si="2"/>
        <v>51506000</v>
      </c>
      <c r="M32" s="32">
        <f t="shared" si="0"/>
        <v>0</v>
      </c>
    </row>
    <row r="33" spans="1:13" ht="71.25" customHeight="1" x14ac:dyDescent="0.25">
      <c r="A33" s="2113"/>
      <c r="B33" s="2118"/>
      <c r="C33" s="4" t="s">
        <v>1182</v>
      </c>
      <c r="D33" s="91"/>
      <c r="E33" s="91"/>
      <c r="F33" s="91"/>
      <c r="G33" s="91">
        <v>81828500</v>
      </c>
      <c r="H33" s="91"/>
      <c r="I33" s="91"/>
      <c r="J33" s="91"/>
      <c r="K33" s="3">
        <f t="shared" si="1"/>
        <v>81828500</v>
      </c>
      <c r="L33" s="36">
        <f t="shared" si="2"/>
        <v>81828500</v>
      </c>
      <c r="M33" s="32">
        <f t="shared" si="0"/>
        <v>0</v>
      </c>
    </row>
    <row r="34" spans="1:13" ht="81.75" customHeight="1" x14ac:dyDescent="0.25">
      <c r="A34" s="2113"/>
      <c r="B34" s="2118"/>
      <c r="C34" s="4" t="s">
        <v>1243</v>
      </c>
      <c r="D34" s="91"/>
      <c r="E34" s="91"/>
      <c r="F34" s="91"/>
      <c r="G34" s="91">
        <v>910000</v>
      </c>
      <c r="H34" s="91"/>
      <c r="I34" s="91"/>
      <c r="J34" s="91"/>
      <c r="K34" s="3">
        <f t="shared" si="1"/>
        <v>910000</v>
      </c>
      <c r="L34" s="36">
        <v>910000</v>
      </c>
      <c r="M34" s="32">
        <f t="shared" si="0"/>
        <v>0</v>
      </c>
    </row>
    <row r="35" spans="1:13" ht="71.25" customHeight="1" x14ac:dyDescent="0.25">
      <c r="A35" s="2113"/>
      <c r="B35" s="2118"/>
      <c r="C35" s="4" t="s">
        <v>312</v>
      </c>
      <c r="D35" s="91"/>
      <c r="E35" s="91"/>
      <c r="F35" s="91"/>
      <c r="G35" s="91">
        <v>41205000</v>
      </c>
      <c r="H35" s="91"/>
      <c r="I35" s="91"/>
      <c r="J35" s="91"/>
      <c r="K35" s="3">
        <f t="shared" si="1"/>
        <v>41205000</v>
      </c>
      <c r="L35" s="36">
        <v>41205000</v>
      </c>
      <c r="M35" s="32">
        <f t="shared" si="0"/>
        <v>0</v>
      </c>
    </row>
    <row r="36" spans="1:13" ht="71.25" customHeight="1" x14ac:dyDescent="0.25">
      <c r="A36" s="2113"/>
      <c r="B36" s="2118"/>
      <c r="C36" s="4" t="s">
        <v>363</v>
      </c>
      <c r="D36" s="91"/>
      <c r="E36" s="91"/>
      <c r="F36" s="91">
        <v>12860000</v>
      </c>
      <c r="G36" s="91"/>
      <c r="H36" s="91"/>
      <c r="I36" s="91"/>
      <c r="J36" s="91"/>
      <c r="K36" s="3">
        <f t="shared" si="1"/>
        <v>12860000</v>
      </c>
      <c r="L36" s="36">
        <v>12860000</v>
      </c>
      <c r="M36" s="32">
        <f t="shared" si="0"/>
        <v>0</v>
      </c>
    </row>
    <row r="37" spans="1:13" ht="105" customHeight="1" x14ac:dyDescent="0.25">
      <c r="A37" s="2113"/>
      <c r="B37" s="2118"/>
      <c r="C37" s="4" t="s">
        <v>381</v>
      </c>
      <c r="D37" s="91"/>
      <c r="E37" s="91"/>
      <c r="F37" s="91">
        <v>43416000</v>
      </c>
      <c r="G37" s="91"/>
      <c r="H37" s="91"/>
      <c r="I37" s="91"/>
      <c r="J37" s="91"/>
      <c r="K37" s="3">
        <f t="shared" si="1"/>
        <v>43416000</v>
      </c>
      <c r="L37" s="36">
        <v>43416000</v>
      </c>
      <c r="M37" s="32">
        <f t="shared" si="0"/>
        <v>0</v>
      </c>
    </row>
    <row r="38" spans="1:13" ht="71.25" customHeight="1" x14ac:dyDescent="0.25">
      <c r="A38" s="2113"/>
      <c r="B38" s="2118"/>
      <c r="C38" s="4" t="s">
        <v>386</v>
      </c>
      <c r="D38" s="91"/>
      <c r="E38" s="91"/>
      <c r="F38" s="91">
        <v>77118000</v>
      </c>
      <c r="G38" s="91"/>
      <c r="H38" s="91"/>
      <c r="I38" s="91"/>
      <c r="J38" s="91"/>
      <c r="K38" s="3">
        <f t="shared" si="1"/>
        <v>77118000</v>
      </c>
      <c r="L38" s="36">
        <v>77118000</v>
      </c>
      <c r="M38" s="32">
        <f t="shared" si="0"/>
        <v>0</v>
      </c>
    </row>
    <row r="39" spans="1:13" ht="57.75" customHeight="1" x14ac:dyDescent="0.25">
      <c r="A39" s="2113"/>
      <c r="B39" s="2118"/>
      <c r="C39" s="4" t="s">
        <v>569</v>
      </c>
      <c r="D39" s="91"/>
      <c r="E39" s="91"/>
      <c r="F39" s="91">
        <v>25802900</v>
      </c>
      <c r="G39" s="91"/>
      <c r="H39" s="91"/>
      <c r="I39" s="91"/>
      <c r="J39" s="91"/>
      <c r="K39" s="3">
        <f t="shared" si="1"/>
        <v>25802900</v>
      </c>
      <c r="L39" s="36">
        <v>25802900</v>
      </c>
      <c r="M39" s="32">
        <f t="shared" si="0"/>
        <v>0</v>
      </c>
    </row>
    <row r="40" spans="1:13" ht="55.5" customHeight="1" x14ac:dyDescent="0.25">
      <c r="A40" s="2113"/>
      <c r="B40" s="2118"/>
      <c r="C40" s="4" t="s">
        <v>411</v>
      </c>
      <c r="D40" s="91"/>
      <c r="E40" s="91"/>
      <c r="F40" s="91">
        <v>5175000</v>
      </c>
      <c r="G40" s="91"/>
      <c r="H40" s="91"/>
      <c r="I40" s="91"/>
      <c r="J40" s="91"/>
      <c r="K40" s="3">
        <f t="shared" si="1"/>
        <v>5175000</v>
      </c>
      <c r="L40" s="36">
        <v>5175000</v>
      </c>
      <c r="M40" s="32">
        <f t="shared" si="0"/>
        <v>0</v>
      </c>
    </row>
    <row r="41" spans="1:13" ht="55.5" customHeight="1" x14ac:dyDescent="0.25">
      <c r="A41" s="2113"/>
      <c r="B41" s="2118"/>
      <c r="C41" s="4" t="s">
        <v>413</v>
      </c>
      <c r="D41" s="91"/>
      <c r="E41" s="91"/>
      <c r="F41" s="91">
        <v>4805000</v>
      </c>
      <c r="G41" s="91"/>
      <c r="H41" s="91"/>
      <c r="I41" s="91"/>
      <c r="J41" s="91"/>
      <c r="K41" s="3">
        <f t="shared" si="1"/>
        <v>4805000</v>
      </c>
      <c r="L41" s="36">
        <v>4805000</v>
      </c>
      <c r="M41" s="32">
        <f t="shared" si="0"/>
        <v>0</v>
      </c>
    </row>
    <row r="42" spans="1:13" ht="52.5" customHeight="1" x14ac:dyDescent="0.25">
      <c r="A42" s="2113"/>
      <c r="B42" s="2118"/>
      <c r="C42" s="4" t="s">
        <v>415</v>
      </c>
      <c r="D42" s="91"/>
      <c r="E42" s="91"/>
      <c r="F42" s="91">
        <v>1575000</v>
      </c>
      <c r="G42" s="91"/>
      <c r="H42" s="91"/>
      <c r="I42" s="91"/>
      <c r="J42" s="91"/>
      <c r="K42" s="3">
        <f t="shared" si="1"/>
        <v>1575000</v>
      </c>
      <c r="L42" s="36">
        <v>1575000</v>
      </c>
      <c r="M42" s="32">
        <f t="shared" si="0"/>
        <v>0</v>
      </c>
    </row>
    <row r="43" spans="1:13" ht="75" customHeight="1" x14ac:dyDescent="0.25">
      <c r="A43" s="2122"/>
      <c r="B43" s="2121"/>
      <c r="C43" s="4" t="s">
        <v>396</v>
      </c>
      <c r="D43" s="91"/>
      <c r="E43" s="91"/>
      <c r="F43" s="91">
        <v>1625000</v>
      </c>
      <c r="G43" s="91"/>
      <c r="H43" s="91"/>
      <c r="I43" s="91"/>
      <c r="J43" s="91"/>
      <c r="K43" s="3">
        <f t="shared" si="1"/>
        <v>1625000</v>
      </c>
      <c r="L43" s="36">
        <v>1625000</v>
      </c>
      <c r="M43" s="32">
        <f t="shared" si="0"/>
        <v>0</v>
      </c>
    </row>
    <row r="44" spans="1:13" s="116" customFormat="1" ht="78.75" customHeight="1" x14ac:dyDescent="0.25">
      <c r="A44" s="2112" t="s">
        <v>1363</v>
      </c>
      <c r="B44" s="2120" t="s">
        <v>571</v>
      </c>
      <c r="C44" s="117" t="s">
        <v>574</v>
      </c>
      <c r="D44" s="118">
        <v>83641100</v>
      </c>
      <c r="E44" s="91">
        <v>266836957.09</v>
      </c>
      <c r="F44" s="91"/>
      <c r="G44" s="91"/>
      <c r="H44" s="91"/>
      <c r="I44" s="91"/>
      <c r="J44" s="91"/>
      <c r="K44" s="3">
        <f t="shared" si="1"/>
        <v>350478057.09000003</v>
      </c>
      <c r="L44" s="36">
        <v>350478057.08999997</v>
      </c>
      <c r="M44" s="32">
        <f>K44-L44</f>
        <v>0</v>
      </c>
    </row>
    <row r="45" spans="1:13" s="116" customFormat="1" ht="60" customHeight="1" x14ac:dyDescent="0.25">
      <c r="A45" s="2113"/>
      <c r="B45" s="2118"/>
      <c r="C45" s="119" t="s">
        <v>1234</v>
      </c>
      <c r="D45" s="91"/>
      <c r="E45" s="91">
        <v>31108540</v>
      </c>
      <c r="F45" s="91"/>
      <c r="G45" s="91"/>
      <c r="H45" s="91"/>
      <c r="I45" s="91"/>
      <c r="J45" s="91"/>
      <c r="K45" s="3">
        <f t="shared" si="1"/>
        <v>31108540</v>
      </c>
      <c r="L45" s="36">
        <v>31108540</v>
      </c>
      <c r="M45" s="32">
        <f t="shared" ref="M45:M85" si="3">K45-L45</f>
        <v>0</v>
      </c>
    </row>
    <row r="46" spans="1:13" ht="60" customHeight="1" x14ac:dyDescent="0.25">
      <c r="A46" s="2113"/>
      <c r="B46" s="2118"/>
      <c r="C46" s="117" t="s">
        <v>1257</v>
      </c>
      <c r="D46" s="91"/>
      <c r="E46" s="91"/>
      <c r="F46" s="91">
        <v>211772294</v>
      </c>
      <c r="G46" s="91"/>
      <c r="H46" s="91"/>
      <c r="I46" s="91"/>
      <c r="J46" s="91"/>
      <c r="K46" s="3">
        <f t="shared" si="1"/>
        <v>211772294</v>
      </c>
      <c r="L46" s="36">
        <v>211772294</v>
      </c>
      <c r="M46" s="32">
        <f t="shared" si="3"/>
        <v>0</v>
      </c>
    </row>
    <row r="47" spans="1:13" ht="60" customHeight="1" x14ac:dyDescent="0.25">
      <c r="A47" s="2113"/>
      <c r="B47" s="2118"/>
      <c r="C47" s="117" t="s">
        <v>686</v>
      </c>
      <c r="D47" s="91"/>
      <c r="E47" s="91">
        <v>16110000</v>
      </c>
      <c r="F47" s="91"/>
      <c r="G47" s="91"/>
      <c r="H47" s="91"/>
      <c r="I47" s="91"/>
      <c r="J47" s="91"/>
      <c r="K47" s="3">
        <f t="shared" si="1"/>
        <v>16110000</v>
      </c>
      <c r="L47" s="36">
        <v>16110000</v>
      </c>
      <c r="M47" s="32">
        <f t="shared" si="3"/>
        <v>0</v>
      </c>
    </row>
    <row r="48" spans="1:13" ht="60" customHeight="1" x14ac:dyDescent="0.25">
      <c r="A48" s="2113"/>
      <c r="B48" s="2118"/>
      <c r="C48" s="117" t="s">
        <v>705</v>
      </c>
      <c r="D48" s="91"/>
      <c r="E48" s="91"/>
      <c r="F48" s="91">
        <v>249118000</v>
      </c>
      <c r="G48" s="91"/>
      <c r="H48" s="91"/>
      <c r="I48" s="91"/>
      <c r="J48" s="91"/>
      <c r="K48" s="3">
        <f t="shared" si="1"/>
        <v>249118000</v>
      </c>
      <c r="L48" s="36">
        <v>249118000</v>
      </c>
      <c r="M48" s="32">
        <f t="shared" si="3"/>
        <v>0</v>
      </c>
    </row>
    <row r="49" spans="1:13" ht="60" customHeight="1" x14ac:dyDescent="0.25">
      <c r="A49" s="2113"/>
      <c r="B49" s="2118"/>
      <c r="C49" s="117" t="s">
        <v>709</v>
      </c>
      <c r="D49" s="91"/>
      <c r="E49" s="91">
        <v>4230000</v>
      </c>
      <c r="F49" s="91"/>
      <c r="G49" s="91"/>
      <c r="H49" s="91"/>
      <c r="I49" s="91"/>
      <c r="J49" s="91"/>
      <c r="K49" s="3">
        <f t="shared" si="1"/>
        <v>4230000</v>
      </c>
      <c r="L49" s="36">
        <v>4230000</v>
      </c>
      <c r="M49" s="32">
        <f t="shared" si="3"/>
        <v>0</v>
      </c>
    </row>
    <row r="50" spans="1:13" ht="60" customHeight="1" x14ac:dyDescent="0.25">
      <c r="A50" s="2113"/>
      <c r="B50" s="2118"/>
      <c r="C50" s="117" t="s">
        <v>786</v>
      </c>
      <c r="D50" s="91"/>
      <c r="E50" s="91"/>
      <c r="F50" s="91">
        <v>56775000</v>
      </c>
      <c r="G50" s="91"/>
      <c r="H50" s="91"/>
      <c r="I50" s="91"/>
      <c r="J50" s="91"/>
      <c r="K50" s="3">
        <f t="shared" si="1"/>
        <v>56775000</v>
      </c>
      <c r="L50" s="36">
        <v>56775000</v>
      </c>
      <c r="M50" s="32">
        <f t="shared" si="3"/>
        <v>0</v>
      </c>
    </row>
    <row r="51" spans="1:13" ht="60" customHeight="1" x14ac:dyDescent="0.25">
      <c r="A51" s="2113"/>
      <c r="B51" s="2118"/>
      <c r="C51" s="117" t="s">
        <v>717</v>
      </c>
      <c r="D51" s="91"/>
      <c r="E51" s="91">
        <v>8340000</v>
      </c>
      <c r="F51" s="91"/>
      <c r="G51" s="91"/>
      <c r="H51" s="91"/>
      <c r="I51" s="91"/>
      <c r="J51" s="91"/>
      <c r="K51" s="3">
        <f t="shared" si="1"/>
        <v>8340000</v>
      </c>
      <c r="L51" s="36">
        <v>8340000</v>
      </c>
      <c r="M51" s="32">
        <f t="shared" si="3"/>
        <v>0</v>
      </c>
    </row>
    <row r="52" spans="1:13" ht="60" customHeight="1" x14ac:dyDescent="0.25">
      <c r="A52" s="2113"/>
      <c r="B52" s="2118"/>
      <c r="C52" s="117" t="s">
        <v>719</v>
      </c>
      <c r="D52" s="91"/>
      <c r="E52" s="91"/>
      <c r="F52" s="91">
        <v>1830000</v>
      </c>
      <c r="G52" s="91"/>
      <c r="H52" s="91"/>
      <c r="I52" s="91"/>
      <c r="J52" s="91"/>
      <c r="K52" s="3">
        <f t="shared" si="1"/>
        <v>1830000</v>
      </c>
      <c r="L52" s="36">
        <v>1830000</v>
      </c>
      <c r="M52" s="32">
        <f t="shared" si="3"/>
        <v>0</v>
      </c>
    </row>
    <row r="53" spans="1:13" ht="60" customHeight="1" x14ac:dyDescent="0.25">
      <c r="A53" s="2113"/>
      <c r="B53" s="2118"/>
      <c r="C53" s="117" t="s">
        <v>731</v>
      </c>
      <c r="D53" s="91"/>
      <c r="E53" s="91">
        <v>2740000</v>
      </c>
      <c r="F53" s="91"/>
      <c r="G53" s="91"/>
      <c r="H53" s="91"/>
      <c r="I53" s="91"/>
      <c r="J53" s="91"/>
      <c r="K53" s="3">
        <f t="shared" si="1"/>
        <v>2740000</v>
      </c>
      <c r="L53" s="36">
        <v>2740000</v>
      </c>
      <c r="M53" s="32">
        <f t="shared" si="3"/>
        <v>0</v>
      </c>
    </row>
    <row r="54" spans="1:13" ht="60" customHeight="1" x14ac:dyDescent="0.25">
      <c r="A54" s="2113"/>
      <c r="B54" s="2118"/>
      <c r="C54" s="117" t="e">
        <f>'BID II'!#REF!</f>
        <v>#REF!</v>
      </c>
      <c r="D54" s="91"/>
      <c r="E54" s="91" t="e">
        <f>'BID II'!#REF!</f>
        <v>#REF!</v>
      </c>
      <c r="F54" s="91"/>
      <c r="G54" s="91"/>
      <c r="H54" s="91"/>
      <c r="I54" s="91"/>
      <c r="J54" s="91"/>
      <c r="K54" s="3"/>
      <c r="L54" s="36"/>
      <c r="M54" s="32"/>
    </row>
    <row r="55" spans="1:13" ht="60" customHeight="1" x14ac:dyDescent="0.25">
      <c r="A55" s="2113"/>
      <c r="B55" s="2118"/>
      <c r="C55" s="117" t="s">
        <v>740</v>
      </c>
      <c r="D55" s="91"/>
      <c r="E55" s="91">
        <v>19940000</v>
      </c>
      <c r="F55" s="91"/>
      <c r="G55" s="91"/>
      <c r="H55" s="91"/>
      <c r="I55" s="91"/>
      <c r="J55" s="91"/>
      <c r="K55" s="3">
        <f t="shared" si="1"/>
        <v>19940000</v>
      </c>
      <c r="L55" s="36">
        <v>19940000</v>
      </c>
      <c r="M55" s="32">
        <f t="shared" si="3"/>
        <v>0</v>
      </c>
    </row>
    <row r="56" spans="1:13" ht="60" customHeight="1" x14ac:dyDescent="0.25">
      <c r="A56" s="2113"/>
      <c r="B56" s="2118"/>
      <c r="C56" s="117" t="s">
        <v>748</v>
      </c>
      <c r="D56" s="91"/>
      <c r="E56" s="91">
        <v>101104000</v>
      </c>
      <c r="F56" s="91"/>
      <c r="G56" s="91"/>
      <c r="H56" s="91"/>
      <c r="I56" s="91"/>
      <c r="J56" s="91"/>
      <c r="K56" s="3">
        <f t="shared" si="1"/>
        <v>101104000</v>
      </c>
      <c r="L56" s="36">
        <v>101104000</v>
      </c>
      <c r="M56" s="32">
        <f t="shared" si="3"/>
        <v>0</v>
      </c>
    </row>
    <row r="57" spans="1:13" ht="60" customHeight="1" x14ac:dyDescent="0.25">
      <c r="A57" s="2113"/>
      <c r="B57" s="2118"/>
      <c r="C57" s="117" t="s">
        <v>757</v>
      </c>
      <c r="D57" s="91"/>
      <c r="E57" s="91">
        <v>14295000</v>
      </c>
      <c r="F57" s="91"/>
      <c r="G57" s="91"/>
      <c r="H57" s="91"/>
      <c r="I57" s="91"/>
      <c r="J57" s="91"/>
      <c r="K57" s="3">
        <f t="shared" si="1"/>
        <v>14295000</v>
      </c>
      <c r="L57" s="36">
        <v>14295000</v>
      </c>
      <c r="M57" s="32">
        <f t="shared" si="3"/>
        <v>0</v>
      </c>
    </row>
    <row r="58" spans="1:13" ht="60" customHeight="1" x14ac:dyDescent="0.25">
      <c r="A58" s="2113"/>
      <c r="B58" s="2118"/>
      <c r="C58" s="117" t="s">
        <v>763</v>
      </c>
      <c r="D58" s="91"/>
      <c r="E58" s="91"/>
      <c r="F58" s="91">
        <v>17685000</v>
      </c>
      <c r="G58" s="91"/>
      <c r="H58" s="91"/>
      <c r="I58" s="91"/>
      <c r="J58" s="91"/>
      <c r="K58" s="3">
        <f t="shared" si="1"/>
        <v>17685000</v>
      </c>
      <c r="L58" s="36">
        <v>17685000</v>
      </c>
      <c r="M58" s="32">
        <f t="shared" si="3"/>
        <v>0</v>
      </c>
    </row>
    <row r="59" spans="1:13" ht="60" customHeight="1" x14ac:dyDescent="0.25">
      <c r="A59" s="2113"/>
      <c r="B59" s="2118"/>
      <c r="C59" s="117" t="s">
        <v>773</v>
      </c>
      <c r="D59" s="91"/>
      <c r="E59" s="91"/>
      <c r="F59" s="91">
        <v>2665000</v>
      </c>
      <c r="G59" s="91"/>
      <c r="H59" s="91"/>
      <c r="I59" s="91"/>
      <c r="J59" s="91"/>
      <c r="K59" s="3">
        <f t="shared" si="1"/>
        <v>2665000</v>
      </c>
      <c r="L59" s="36">
        <v>2665000</v>
      </c>
      <c r="M59" s="32">
        <f t="shared" si="3"/>
        <v>0</v>
      </c>
    </row>
    <row r="60" spans="1:13" ht="60" customHeight="1" x14ac:dyDescent="0.25">
      <c r="A60" s="2113"/>
      <c r="B60" s="2118"/>
      <c r="C60" s="117" t="s">
        <v>779</v>
      </c>
      <c r="D60" s="91"/>
      <c r="E60" s="91"/>
      <c r="F60" s="91">
        <v>2385000</v>
      </c>
      <c r="G60" s="91"/>
      <c r="H60" s="91"/>
      <c r="I60" s="91"/>
      <c r="J60" s="91"/>
      <c r="K60" s="3">
        <f t="shared" si="1"/>
        <v>2385000</v>
      </c>
      <c r="L60" s="36">
        <v>2385000</v>
      </c>
      <c r="M60" s="32">
        <f t="shared" si="3"/>
        <v>0</v>
      </c>
    </row>
    <row r="61" spans="1:13" ht="60" customHeight="1" x14ac:dyDescent="0.25">
      <c r="A61" s="2113"/>
      <c r="B61" s="2118"/>
      <c r="C61" s="117" t="s">
        <v>783</v>
      </c>
      <c r="D61" s="91"/>
      <c r="E61" s="91">
        <v>1690000</v>
      </c>
      <c r="F61" s="91"/>
      <c r="G61" s="91"/>
      <c r="H61" s="91"/>
      <c r="I61" s="91"/>
      <c r="J61" s="91"/>
      <c r="K61" s="3">
        <f t="shared" si="1"/>
        <v>1690000</v>
      </c>
      <c r="L61" s="36">
        <v>1690000</v>
      </c>
      <c r="M61" s="32">
        <f t="shared" si="3"/>
        <v>0</v>
      </c>
    </row>
    <row r="62" spans="1:13" ht="60" customHeight="1" x14ac:dyDescent="0.25">
      <c r="A62" s="2113"/>
      <c r="B62" s="2118"/>
      <c r="C62" s="117" t="s">
        <v>785</v>
      </c>
      <c r="D62" s="91"/>
      <c r="E62" s="91"/>
      <c r="F62" s="91">
        <v>8040000</v>
      </c>
      <c r="G62" s="91"/>
      <c r="H62" s="91"/>
      <c r="I62" s="91"/>
      <c r="J62" s="91"/>
      <c r="K62" s="3">
        <f t="shared" si="1"/>
        <v>8040000</v>
      </c>
      <c r="L62" s="36">
        <v>8040000</v>
      </c>
      <c r="M62" s="32">
        <f t="shared" si="3"/>
        <v>0</v>
      </c>
    </row>
    <row r="63" spans="1:13" ht="60" customHeight="1" x14ac:dyDescent="0.25">
      <c r="A63" s="2113"/>
      <c r="B63" s="2118"/>
      <c r="C63" s="117" t="s">
        <v>1289</v>
      </c>
      <c r="D63" s="91"/>
      <c r="E63" s="91"/>
      <c r="F63" s="91"/>
      <c r="G63" s="91">
        <v>5757500</v>
      </c>
      <c r="H63" s="91"/>
      <c r="I63" s="91"/>
      <c r="J63" s="91"/>
      <c r="K63" s="3">
        <f t="shared" si="1"/>
        <v>5757500</v>
      </c>
      <c r="L63" s="36">
        <v>5757500</v>
      </c>
      <c r="M63" s="32">
        <f t="shared" si="3"/>
        <v>0</v>
      </c>
    </row>
    <row r="64" spans="1:13" ht="60" customHeight="1" x14ac:dyDescent="0.25">
      <c r="A64" s="2113"/>
      <c r="B64" s="2118"/>
      <c r="C64" s="117" t="s">
        <v>1064</v>
      </c>
      <c r="D64" s="91"/>
      <c r="E64" s="91"/>
      <c r="F64" s="91"/>
      <c r="G64" s="91">
        <v>10455000</v>
      </c>
      <c r="H64" s="91"/>
      <c r="I64" s="91"/>
      <c r="J64" s="91"/>
      <c r="K64" s="3">
        <f t="shared" si="1"/>
        <v>10455000</v>
      </c>
      <c r="L64" s="36">
        <v>10455000</v>
      </c>
      <c r="M64" s="32">
        <f t="shared" si="3"/>
        <v>0</v>
      </c>
    </row>
    <row r="65" spans="1:13" ht="60" customHeight="1" x14ac:dyDescent="0.25">
      <c r="A65" s="2113"/>
      <c r="B65" s="2118"/>
      <c r="C65" s="117" t="s">
        <v>803</v>
      </c>
      <c r="D65" s="91"/>
      <c r="E65" s="91"/>
      <c r="F65" s="91">
        <v>39717600</v>
      </c>
      <c r="G65" s="91"/>
      <c r="H65" s="91"/>
      <c r="I65" s="91"/>
      <c r="J65" s="91"/>
      <c r="K65" s="3">
        <f t="shared" si="1"/>
        <v>39717600</v>
      </c>
      <c r="L65" s="36">
        <v>39717600</v>
      </c>
      <c r="M65" s="32">
        <f t="shared" si="3"/>
        <v>0</v>
      </c>
    </row>
    <row r="66" spans="1:13" ht="60" customHeight="1" x14ac:dyDescent="0.25">
      <c r="A66" s="2113"/>
      <c r="B66" s="2118"/>
      <c r="C66" s="117" t="s">
        <v>828</v>
      </c>
      <c r="D66" s="91"/>
      <c r="E66" s="91"/>
      <c r="F66" s="91">
        <v>43935000</v>
      </c>
      <c r="G66" s="91"/>
      <c r="H66" s="91"/>
      <c r="I66" s="91"/>
      <c r="J66" s="91"/>
      <c r="K66" s="3">
        <f t="shared" si="1"/>
        <v>43935000</v>
      </c>
      <c r="L66" s="36">
        <v>43935000</v>
      </c>
      <c r="M66" s="32">
        <f t="shared" si="3"/>
        <v>0</v>
      </c>
    </row>
    <row r="67" spans="1:13" ht="60" customHeight="1" x14ac:dyDescent="0.25">
      <c r="A67" s="2113"/>
      <c r="B67" s="2118"/>
      <c r="C67" s="117" t="s">
        <v>835</v>
      </c>
      <c r="D67" s="91"/>
      <c r="E67" s="91"/>
      <c r="F67" s="91"/>
      <c r="G67" s="91">
        <v>6127385</v>
      </c>
      <c r="H67" s="91"/>
      <c r="I67" s="91"/>
      <c r="J67" s="91"/>
      <c r="K67" s="3">
        <f t="shared" si="1"/>
        <v>6127385</v>
      </c>
      <c r="L67" s="36">
        <v>6127385</v>
      </c>
      <c r="M67" s="32">
        <f t="shared" si="3"/>
        <v>0</v>
      </c>
    </row>
    <row r="68" spans="1:13" ht="60" customHeight="1" x14ac:dyDescent="0.25">
      <c r="A68" s="2113"/>
      <c r="B68" s="2118"/>
      <c r="C68" s="117" t="s">
        <v>838</v>
      </c>
      <c r="D68" s="91"/>
      <c r="E68" s="91">
        <v>159718000</v>
      </c>
      <c r="F68" s="91"/>
      <c r="G68" s="91"/>
      <c r="H68" s="91"/>
      <c r="I68" s="91"/>
      <c r="J68" s="91"/>
      <c r="K68" s="3">
        <f t="shared" si="1"/>
        <v>159718000</v>
      </c>
      <c r="L68" s="36">
        <v>159718000</v>
      </c>
      <c r="M68" s="32">
        <f t="shared" si="3"/>
        <v>0</v>
      </c>
    </row>
    <row r="69" spans="1:13" ht="60" customHeight="1" x14ac:dyDescent="0.25">
      <c r="A69" s="2113"/>
      <c r="B69" s="2118"/>
      <c r="C69" s="117" t="s">
        <v>840</v>
      </c>
      <c r="D69" s="91"/>
      <c r="E69" s="91"/>
      <c r="F69" s="91">
        <v>32465000</v>
      </c>
      <c r="G69" s="91"/>
      <c r="H69" s="91"/>
      <c r="I69" s="91"/>
      <c r="J69" s="91"/>
      <c r="K69" s="3">
        <f t="shared" si="1"/>
        <v>32465000</v>
      </c>
      <c r="L69" s="36">
        <v>32465000</v>
      </c>
      <c r="M69" s="32">
        <f t="shared" si="3"/>
        <v>0</v>
      </c>
    </row>
    <row r="70" spans="1:13" ht="60" customHeight="1" x14ac:dyDescent="0.25">
      <c r="A70" s="2113"/>
      <c r="B70" s="2118"/>
      <c r="C70" s="117" t="s">
        <v>841</v>
      </c>
      <c r="D70" s="91"/>
      <c r="E70" s="91"/>
      <c r="F70" s="91">
        <v>3810000</v>
      </c>
      <c r="G70" s="91"/>
      <c r="H70" s="91"/>
      <c r="I70" s="91"/>
      <c r="J70" s="91"/>
      <c r="K70" s="3">
        <f t="shared" si="1"/>
        <v>3810000</v>
      </c>
      <c r="L70" s="36">
        <v>3810000</v>
      </c>
      <c r="M70" s="32">
        <f t="shared" si="3"/>
        <v>0</v>
      </c>
    </row>
    <row r="71" spans="1:13" ht="60" customHeight="1" x14ac:dyDescent="0.25">
      <c r="A71" s="2113"/>
      <c r="B71" s="2118"/>
      <c r="C71" s="117" t="s">
        <v>842</v>
      </c>
      <c r="D71" s="91"/>
      <c r="E71" s="91"/>
      <c r="F71" s="91">
        <v>65986000</v>
      </c>
      <c r="G71" s="91"/>
      <c r="H71" s="91"/>
      <c r="I71" s="91"/>
      <c r="J71" s="91"/>
      <c r="K71" s="3">
        <f t="shared" si="1"/>
        <v>65986000</v>
      </c>
      <c r="L71" s="36">
        <v>65986000</v>
      </c>
      <c r="M71" s="32">
        <f t="shared" si="3"/>
        <v>0</v>
      </c>
    </row>
    <row r="72" spans="1:13" ht="60" customHeight="1" x14ac:dyDescent="0.25">
      <c r="A72" s="2113"/>
      <c r="B72" s="2118"/>
      <c r="C72" s="117" t="s">
        <v>844</v>
      </c>
      <c r="D72" s="91"/>
      <c r="E72" s="91"/>
      <c r="F72" s="91">
        <v>32456000</v>
      </c>
      <c r="G72" s="91"/>
      <c r="H72" s="91"/>
      <c r="I72" s="91"/>
      <c r="J72" s="91"/>
      <c r="K72" s="3">
        <f t="shared" si="1"/>
        <v>32456000</v>
      </c>
      <c r="L72" s="36">
        <v>32456000</v>
      </c>
      <c r="M72" s="32">
        <f t="shared" si="3"/>
        <v>0</v>
      </c>
    </row>
    <row r="73" spans="1:13" ht="60" customHeight="1" x14ac:dyDescent="0.25">
      <c r="A73" s="2113"/>
      <c r="B73" s="2118"/>
      <c r="C73" s="117" t="s">
        <v>845</v>
      </c>
      <c r="D73" s="91"/>
      <c r="E73" s="91"/>
      <c r="F73" s="91">
        <v>48067000</v>
      </c>
      <c r="G73" s="91"/>
      <c r="H73" s="91"/>
      <c r="I73" s="91"/>
      <c r="J73" s="91"/>
      <c r="K73" s="3">
        <f t="shared" si="1"/>
        <v>48067000</v>
      </c>
      <c r="L73" s="36">
        <v>48067000</v>
      </c>
      <c r="M73" s="32">
        <f t="shared" si="3"/>
        <v>0</v>
      </c>
    </row>
    <row r="74" spans="1:13" ht="60" customHeight="1" x14ac:dyDescent="0.25">
      <c r="A74" s="2113"/>
      <c r="B74" s="2118"/>
      <c r="C74" s="117" t="s">
        <v>846</v>
      </c>
      <c r="D74" s="91"/>
      <c r="E74" s="91"/>
      <c r="F74" s="91">
        <v>92270100</v>
      </c>
      <c r="G74" s="91"/>
      <c r="H74" s="91"/>
      <c r="I74" s="91"/>
      <c r="J74" s="91"/>
      <c r="K74" s="3">
        <f t="shared" si="1"/>
        <v>92270100</v>
      </c>
      <c r="L74" s="36">
        <v>92270100</v>
      </c>
      <c r="M74" s="32">
        <f t="shared" si="3"/>
        <v>0</v>
      </c>
    </row>
    <row r="75" spans="1:13" ht="60" customHeight="1" x14ac:dyDescent="0.25">
      <c r="A75" s="2113"/>
      <c r="B75" s="2118"/>
      <c r="C75" s="117" t="s">
        <v>1229</v>
      </c>
      <c r="D75" s="91"/>
      <c r="E75" s="91">
        <v>30140000</v>
      </c>
      <c r="F75" s="91"/>
      <c r="G75" s="91"/>
      <c r="H75" s="91"/>
      <c r="I75" s="91"/>
      <c r="J75" s="91"/>
      <c r="K75" s="3">
        <f t="shared" si="1"/>
        <v>30140000</v>
      </c>
      <c r="L75" s="36">
        <v>30140000</v>
      </c>
      <c r="M75" s="32">
        <f t="shared" si="3"/>
        <v>0</v>
      </c>
    </row>
    <row r="76" spans="1:13" ht="60" customHeight="1" x14ac:dyDescent="0.25">
      <c r="A76" s="2113"/>
      <c r="B76" s="2118"/>
      <c r="C76" s="117" t="s">
        <v>1230</v>
      </c>
      <c r="D76" s="91"/>
      <c r="E76" s="91"/>
      <c r="F76" s="91">
        <v>37420000</v>
      </c>
      <c r="G76" s="91"/>
      <c r="H76" s="91"/>
      <c r="I76" s="91"/>
      <c r="J76" s="91"/>
      <c r="K76" s="3">
        <f t="shared" si="1"/>
        <v>37420000</v>
      </c>
      <c r="L76" s="36">
        <v>37420000</v>
      </c>
      <c r="M76" s="32">
        <f t="shared" si="3"/>
        <v>0</v>
      </c>
    </row>
    <row r="77" spans="1:13" s="116" customFormat="1" ht="60" customHeight="1" x14ac:dyDescent="0.25">
      <c r="A77" s="2113"/>
      <c r="B77" s="2118"/>
      <c r="C77" s="117" t="s">
        <v>884</v>
      </c>
      <c r="D77" s="91"/>
      <c r="E77" s="91"/>
      <c r="F77" s="91">
        <v>497699000</v>
      </c>
      <c r="G77" s="91"/>
      <c r="H77" s="91"/>
      <c r="I77" s="91"/>
      <c r="J77" s="91"/>
      <c r="K77" s="3">
        <f t="shared" si="1"/>
        <v>497699000</v>
      </c>
      <c r="L77" s="36">
        <v>497699000</v>
      </c>
      <c r="M77" s="32">
        <f t="shared" si="3"/>
        <v>0</v>
      </c>
    </row>
    <row r="78" spans="1:13" ht="60" customHeight="1" x14ac:dyDescent="0.25">
      <c r="A78" s="2113"/>
      <c r="B78" s="2118"/>
      <c r="C78" s="117" t="s">
        <v>889</v>
      </c>
      <c r="D78" s="91"/>
      <c r="E78" s="91">
        <v>26276950</v>
      </c>
      <c r="F78" s="91"/>
      <c r="G78" s="91"/>
      <c r="H78" s="91"/>
      <c r="I78" s="91"/>
      <c r="J78" s="91"/>
      <c r="K78" s="3">
        <f t="shared" si="1"/>
        <v>26276950</v>
      </c>
      <c r="L78" s="36">
        <v>26276950</v>
      </c>
      <c r="M78" s="32">
        <f t="shared" si="3"/>
        <v>0</v>
      </c>
    </row>
    <row r="79" spans="1:13" ht="60" customHeight="1" x14ac:dyDescent="0.25">
      <c r="A79" s="2113"/>
      <c r="B79" s="2118"/>
      <c r="C79" s="117" t="s">
        <v>900</v>
      </c>
      <c r="D79" s="91"/>
      <c r="E79" s="91"/>
      <c r="F79" s="91">
        <v>54936000</v>
      </c>
      <c r="G79" s="91"/>
      <c r="H79" s="91"/>
      <c r="I79" s="91"/>
      <c r="J79" s="91"/>
      <c r="K79" s="3">
        <f t="shared" ref="K79:K125" si="4">SUM(D79:J79)</f>
        <v>54936000</v>
      </c>
      <c r="L79" s="36">
        <v>54936000</v>
      </c>
      <c r="M79" s="32">
        <f t="shared" si="3"/>
        <v>0</v>
      </c>
    </row>
    <row r="80" spans="1:13" ht="83.25" customHeight="1" x14ac:dyDescent="0.25">
      <c r="A80" s="2113"/>
      <c r="B80" s="2118"/>
      <c r="C80" s="117" t="s">
        <v>1232</v>
      </c>
      <c r="D80" s="91"/>
      <c r="E80" s="91"/>
      <c r="F80" s="91">
        <v>2830000</v>
      </c>
      <c r="G80" s="91"/>
      <c r="H80" s="91"/>
      <c r="I80" s="91"/>
      <c r="J80" s="91"/>
      <c r="K80" s="3">
        <f t="shared" si="4"/>
        <v>2830000</v>
      </c>
      <c r="L80" s="36">
        <v>2830000</v>
      </c>
      <c r="M80" s="32">
        <f t="shared" si="3"/>
        <v>0</v>
      </c>
    </row>
    <row r="81" spans="1:13" ht="60" customHeight="1" x14ac:dyDescent="0.25">
      <c r="A81" s="2113"/>
      <c r="B81" s="2118"/>
      <c r="C81" s="117" t="s">
        <v>1233</v>
      </c>
      <c r="D81" s="91"/>
      <c r="E81" s="91"/>
      <c r="F81" s="91"/>
      <c r="G81" s="91">
        <v>30750000</v>
      </c>
      <c r="H81" s="91"/>
      <c r="I81" s="91"/>
      <c r="J81" s="91"/>
      <c r="K81" s="3">
        <f t="shared" si="4"/>
        <v>30750000</v>
      </c>
      <c r="L81" s="36">
        <v>30750000</v>
      </c>
      <c r="M81" s="32">
        <f t="shared" si="3"/>
        <v>0</v>
      </c>
    </row>
    <row r="82" spans="1:13" ht="79.5" customHeight="1" x14ac:dyDescent="0.25">
      <c r="A82" s="2113"/>
      <c r="B82" s="2118"/>
      <c r="C82" s="117" t="s">
        <v>1227</v>
      </c>
      <c r="D82" s="91"/>
      <c r="E82" s="91"/>
      <c r="F82" s="91"/>
      <c r="G82" s="91">
        <v>70725000</v>
      </c>
      <c r="H82" s="91"/>
      <c r="I82" s="91"/>
      <c r="J82" s="91"/>
      <c r="K82" s="3">
        <f t="shared" si="4"/>
        <v>70725000</v>
      </c>
      <c r="L82" s="36">
        <v>70725000</v>
      </c>
      <c r="M82" s="32">
        <f t="shared" si="3"/>
        <v>0</v>
      </c>
    </row>
    <row r="83" spans="1:13" ht="60" customHeight="1" x14ac:dyDescent="0.25">
      <c r="A83" s="2113"/>
      <c r="B83" s="2118"/>
      <c r="C83" s="117" t="s">
        <v>1258</v>
      </c>
      <c r="D83" s="91"/>
      <c r="E83" s="91"/>
      <c r="F83" s="91"/>
      <c r="G83" s="91">
        <v>24539726.899999999</v>
      </c>
      <c r="H83" s="91"/>
      <c r="I83" s="91"/>
      <c r="J83" s="91"/>
      <c r="K83" s="3">
        <f t="shared" si="4"/>
        <v>24539726.899999999</v>
      </c>
      <c r="L83" s="36">
        <v>24539726.899999999</v>
      </c>
      <c r="M83" s="32">
        <f t="shared" si="3"/>
        <v>0</v>
      </c>
    </row>
    <row r="84" spans="1:13" ht="60" customHeight="1" x14ac:dyDescent="0.25">
      <c r="A84" s="2113"/>
      <c r="B84" s="2118"/>
      <c r="C84" s="117" t="s">
        <v>1167</v>
      </c>
      <c r="D84" s="91"/>
      <c r="E84" s="91"/>
      <c r="F84" s="91">
        <v>29510800</v>
      </c>
      <c r="G84" s="91"/>
      <c r="H84" s="91"/>
      <c r="I84" s="91"/>
      <c r="J84" s="91"/>
      <c r="K84" s="3">
        <f t="shared" si="4"/>
        <v>29510800</v>
      </c>
      <c r="L84" s="36">
        <v>29510800</v>
      </c>
      <c r="M84" s="32">
        <f t="shared" si="3"/>
        <v>0</v>
      </c>
    </row>
    <row r="85" spans="1:13" ht="60" customHeight="1" x14ac:dyDescent="0.25">
      <c r="A85" s="2122"/>
      <c r="B85" s="2121"/>
      <c r="C85" s="117" t="s">
        <v>904</v>
      </c>
      <c r="D85" s="91"/>
      <c r="E85" s="91"/>
      <c r="F85" s="91"/>
      <c r="G85" s="91">
        <v>3000000</v>
      </c>
      <c r="H85" s="91"/>
      <c r="I85" s="91"/>
      <c r="J85" s="91"/>
      <c r="K85" s="3">
        <f t="shared" si="4"/>
        <v>3000000</v>
      </c>
      <c r="L85" s="36">
        <v>3000000</v>
      </c>
      <c r="M85" s="32">
        <f t="shared" si="3"/>
        <v>0</v>
      </c>
    </row>
    <row r="86" spans="1:13" s="116" customFormat="1" ht="80.25" customHeight="1" x14ac:dyDescent="0.25">
      <c r="A86" s="2112" t="s">
        <v>1364</v>
      </c>
      <c r="B86" s="2120" t="s">
        <v>1110</v>
      </c>
      <c r="C86" s="4" t="s">
        <v>913</v>
      </c>
      <c r="D86" s="91"/>
      <c r="E86" s="91"/>
      <c r="F86" s="91">
        <v>6765000</v>
      </c>
      <c r="G86" s="91"/>
      <c r="H86" s="91"/>
      <c r="I86" s="91"/>
      <c r="J86" s="91"/>
      <c r="K86" s="3">
        <f t="shared" si="4"/>
        <v>6765000</v>
      </c>
      <c r="L86" s="36">
        <v>6765000</v>
      </c>
      <c r="M86" s="32">
        <f>K86-L86</f>
        <v>0</v>
      </c>
    </row>
    <row r="87" spans="1:13" ht="75.75" customHeight="1" x14ac:dyDescent="0.25">
      <c r="A87" s="2113"/>
      <c r="B87" s="2118"/>
      <c r="C87" s="4" t="s">
        <v>920</v>
      </c>
      <c r="D87" s="91"/>
      <c r="E87" s="91"/>
      <c r="F87" s="91">
        <v>8065000</v>
      </c>
      <c r="G87" s="91"/>
      <c r="H87" s="91"/>
      <c r="I87" s="91"/>
      <c r="J87" s="91"/>
      <c r="K87" s="3">
        <f t="shared" si="4"/>
        <v>8065000</v>
      </c>
      <c r="L87" s="36">
        <v>8065000</v>
      </c>
      <c r="M87" s="32">
        <f t="shared" ref="M87:M112" si="5">K87-L87</f>
        <v>0</v>
      </c>
    </row>
    <row r="88" spans="1:13" s="116" customFormat="1" ht="104.25" customHeight="1" x14ac:dyDescent="0.25">
      <c r="A88" s="2113"/>
      <c r="B88" s="2118"/>
      <c r="C88" s="4" t="s">
        <v>1353</v>
      </c>
      <c r="D88" s="91"/>
      <c r="E88" s="91"/>
      <c r="F88" s="91">
        <v>41030000</v>
      </c>
      <c r="G88" s="91"/>
      <c r="H88" s="91"/>
      <c r="I88" s="91"/>
      <c r="J88" s="91"/>
      <c r="K88" s="3">
        <f t="shared" si="4"/>
        <v>41030000</v>
      </c>
      <c r="L88" s="36">
        <v>41030000</v>
      </c>
      <c r="M88" s="32">
        <f t="shared" si="5"/>
        <v>0</v>
      </c>
    </row>
    <row r="89" spans="1:13" s="116" customFormat="1" ht="100.5" customHeight="1" x14ac:dyDescent="0.25">
      <c r="A89" s="2113"/>
      <c r="B89" s="2118"/>
      <c r="C89" s="4" t="s">
        <v>927</v>
      </c>
      <c r="D89" s="91"/>
      <c r="E89" s="91"/>
      <c r="F89" s="91"/>
      <c r="G89" s="91">
        <v>300665000</v>
      </c>
      <c r="H89" s="91"/>
      <c r="I89" s="91"/>
      <c r="J89" s="91"/>
      <c r="K89" s="3">
        <f t="shared" si="4"/>
        <v>300665000</v>
      </c>
      <c r="L89" s="36">
        <v>300665000</v>
      </c>
      <c r="M89" s="32">
        <f t="shared" si="5"/>
        <v>0</v>
      </c>
    </row>
    <row r="90" spans="1:13" s="116" customFormat="1" ht="60" customHeight="1" x14ac:dyDescent="0.25">
      <c r="A90" s="2113"/>
      <c r="B90" s="2118"/>
      <c r="C90" s="4" t="s">
        <v>1120</v>
      </c>
      <c r="D90" s="91"/>
      <c r="E90" s="91"/>
      <c r="F90" s="91"/>
      <c r="G90" s="91">
        <v>3080000</v>
      </c>
      <c r="H90" s="91"/>
      <c r="I90" s="91"/>
      <c r="J90" s="91"/>
      <c r="K90" s="3">
        <f t="shared" si="4"/>
        <v>3080000</v>
      </c>
      <c r="L90" s="36">
        <v>3080000</v>
      </c>
      <c r="M90" s="32">
        <f t="shared" si="5"/>
        <v>0</v>
      </c>
    </row>
    <row r="91" spans="1:13" s="116" customFormat="1" ht="60" customHeight="1" x14ac:dyDescent="0.25">
      <c r="A91" s="2113"/>
      <c r="B91" s="2118"/>
      <c r="C91" s="4" t="s">
        <v>938</v>
      </c>
      <c r="D91" s="91"/>
      <c r="E91" s="91"/>
      <c r="F91" s="91"/>
      <c r="G91" s="36">
        <v>5048000</v>
      </c>
      <c r="H91" s="91"/>
      <c r="I91" s="91"/>
      <c r="J91" s="91"/>
      <c r="K91" s="3">
        <f t="shared" si="4"/>
        <v>5048000</v>
      </c>
      <c r="L91" s="36">
        <v>5048000</v>
      </c>
      <c r="M91" s="32">
        <f t="shared" si="5"/>
        <v>0</v>
      </c>
    </row>
    <row r="92" spans="1:13" s="116" customFormat="1" ht="60" customHeight="1" x14ac:dyDescent="0.25">
      <c r="A92" s="2113"/>
      <c r="B92" s="2118"/>
      <c r="C92" s="4" t="s">
        <v>996</v>
      </c>
      <c r="D92" s="91"/>
      <c r="E92" s="91"/>
      <c r="F92" s="91"/>
      <c r="G92" s="36">
        <v>249750000</v>
      </c>
      <c r="H92" s="91"/>
      <c r="I92" s="91"/>
      <c r="J92" s="91"/>
      <c r="K92" s="3">
        <f t="shared" si="4"/>
        <v>249750000</v>
      </c>
      <c r="L92" s="36">
        <v>249750000</v>
      </c>
      <c r="M92" s="32">
        <f t="shared" si="5"/>
        <v>0</v>
      </c>
    </row>
    <row r="93" spans="1:13" s="116" customFormat="1" ht="60" customHeight="1" x14ac:dyDescent="0.25">
      <c r="A93" s="2113"/>
      <c r="B93" s="2118"/>
      <c r="C93" s="4" t="s">
        <v>956</v>
      </c>
      <c r="D93" s="91"/>
      <c r="E93" s="91"/>
      <c r="F93" s="91"/>
      <c r="G93" s="36">
        <v>18365000</v>
      </c>
      <c r="H93" s="91"/>
      <c r="I93" s="91"/>
      <c r="J93" s="91"/>
      <c r="K93" s="3">
        <f t="shared" si="4"/>
        <v>18365000</v>
      </c>
      <c r="L93" s="36">
        <v>18365000</v>
      </c>
      <c r="M93" s="32">
        <f t="shared" si="5"/>
        <v>0</v>
      </c>
    </row>
    <row r="94" spans="1:13" s="116" customFormat="1" ht="60" customHeight="1" x14ac:dyDescent="0.25">
      <c r="A94" s="2113"/>
      <c r="B94" s="2118"/>
      <c r="C94" s="4" t="s">
        <v>966</v>
      </c>
      <c r="D94" s="91"/>
      <c r="E94" s="91"/>
      <c r="F94" s="91"/>
      <c r="G94" s="36">
        <v>20480000</v>
      </c>
      <c r="H94" s="91"/>
      <c r="I94" s="91"/>
      <c r="J94" s="91"/>
      <c r="K94" s="3">
        <f t="shared" si="4"/>
        <v>20480000</v>
      </c>
      <c r="L94" s="36">
        <v>20480000</v>
      </c>
      <c r="M94" s="32">
        <f t="shared" si="5"/>
        <v>0</v>
      </c>
    </row>
    <row r="95" spans="1:13" s="116" customFormat="1" ht="60" customHeight="1" x14ac:dyDescent="0.25">
      <c r="A95" s="2113"/>
      <c r="B95" s="2118"/>
      <c r="C95" s="4" t="s">
        <v>1121</v>
      </c>
      <c r="D95" s="91"/>
      <c r="E95" s="91"/>
      <c r="F95" s="36">
        <v>23625000</v>
      </c>
      <c r="G95" s="91"/>
      <c r="H95" s="91"/>
      <c r="I95" s="91"/>
      <c r="J95" s="91"/>
      <c r="K95" s="3">
        <f t="shared" si="4"/>
        <v>23625000</v>
      </c>
      <c r="L95" s="36">
        <v>23625000</v>
      </c>
      <c r="M95" s="32">
        <f t="shared" si="5"/>
        <v>0</v>
      </c>
    </row>
    <row r="96" spans="1:13" s="116" customFormat="1" ht="60" customHeight="1" x14ac:dyDescent="0.25">
      <c r="A96" s="2113"/>
      <c r="B96" s="2118"/>
      <c r="C96" s="4" t="s">
        <v>970</v>
      </c>
      <c r="D96" s="91"/>
      <c r="E96" s="91"/>
      <c r="F96" s="91"/>
      <c r="G96" s="91"/>
      <c r="H96" s="36">
        <v>150000000</v>
      </c>
      <c r="I96" s="91"/>
      <c r="J96" s="91"/>
      <c r="K96" s="3">
        <f t="shared" si="4"/>
        <v>150000000</v>
      </c>
      <c r="L96" s="36">
        <v>150000000</v>
      </c>
      <c r="M96" s="32">
        <f t="shared" si="5"/>
        <v>0</v>
      </c>
    </row>
    <row r="97" spans="1:13" s="116" customFormat="1" ht="60" customHeight="1" x14ac:dyDescent="0.25">
      <c r="A97" s="2113"/>
      <c r="B97" s="2118"/>
      <c r="C97" s="4" t="s">
        <v>978</v>
      </c>
      <c r="D97" s="91"/>
      <c r="E97" s="91"/>
      <c r="F97" s="91"/>
      <c r="G97" s="91"/>
      <c r="H97" s="91"/>
      <c r="I97" s="36">
        <v>250000000</v>
      </c>
      <c r="J97" s="91"/>
      <c r="K97" s="3">
        <f t="shared" si="4"/>
        <v>250000000</v>
      </c>
      <c r="L97" s="36">
        <v>250000000</v>
      </c>
      <c r="M97" s="32">
        <f t="shared" si="5"/>
        <v>0</v>
      </c>
    </row>
    <row r="98" spans="1:13" s="116" customFormat="1" ht="60" customHeight="1" x14ac:dyDescent="0.25">
      <c r="A98" s="2113"/>
      <c r="B98" s="2118"/>
      <c r="C98" s="4" t="s">
        <v>988</v>
      </c>
      <c r="D98" s="91"/>
      <c r="E98" s="91"/>
      <c r="F98" s="118"/>
      <c r="G98" s="36">
        <v>134875000</v>
      </c>
      <c r="H98" s="91"/>
      <c r="I98" s="91"/>
      <c r="J98" s="91"/>
      <c r="K98" s="3">
        <f t="shared" si="4"/>
        <v>134875000</v>
      </c>
      <c r="L98" s="36">
        <v>134875000</v>
      </c>
      <c r="M98" s="32">
        <f t="shared" si="5"/>
        <v>0</v>
      </c>
    </row>
    <row r="99" spans="1:13" ht="81" customHeight="1" x14ac:dyDescent="0.25">
      <c r="A99" s="2113"/>
      <c r="B99" s="2118"/>
      <c r="C99" s="4" t="s">
        <v>994</v>
      </c>
      <c r="D99" s="91"/>
      <c r="E99" s="91"/>
      <c r="F99" s="91"/>
      <c r="G99" s="36">
        <v>72575000</v>
      </c>
      <c r="H99" s="91"/>
      <c r="I99" s="91"/>
      <c r="J99" s="91"/>
      <c r="K99" s="3">
        <f t="shared" si="4"/>
        <v>72575000</v>
      </c>
      <c r="L99" s="36">
        <v>72575000</v>
      </c>
      <c r="M99" s="32">
        <f t="shared" si="5"/>
        <v>0</v>
      </c>
    </row>
    <row r="100" spans="1:13" ht="81" customHeight="1" x14ac:dyDescent="0.25">
      <c r="A100" s="2113"/>
      <c r="B100" s="2118"/>
      <c r="C100" s="4" t="e">
        <f>'BID III'!#REF!</f>
        <v>#REF!</v>
      </c>
      <c r="D100" s="91"/>
      <c r="E100" s="91"/>
      <c r="F100" s="91"/>
      <c r="G100" s="36" t="e">
        <f>'BID III'!#REF!</f>
        <v>#REF!</v>
      </c>
      <c r="H100" s="91"/>
      <c r="I100" s="91"/>
      <c r="J100" s="91"/>
      <c r="K100" s="3" t="e">
        <f t="shared" si="4"/>
        <v>#REF!</v>
      </c>
      <c r="L100" s="36"/>
      <c r="M100" s="32"/>
    </row>
    <row r="101" spans="1:13" ht="60" customHeight="1" x14ac:dyDescent="0.25">
      <c r="A101" s="2113"/>
      <c r="B101" s="2118"/>
      <c r="C101" s="4" t="s">
        <v>1124</v>
      </c>
      <c r="D101" s="91"/>
      <c r="E101" s="91"/>
      <c r="F101" s="91"/>
      <c r="G101" s="142">
        <v>29999000</v>
      </c>
      <c r="H101" s="118"/>
      <c r="I101" s="91"/>
      <c r="J101" s="91"/>
      <c r="K101" s="3">
        <f t="shared" si="4"/>
        <v>29999000</v>
      </c>
      <c r="L101" s="36">
        <v>29999000</v>
      </c>
      <c r="M101" s="32">
        <f t="shared" si="5"/>
        <v>0</v>
      </c>
    </row>
    <row r="102" spans="1:13" ht="60" customHeight="1" x14ac:dyDescent="0.25">
      <c r="A102" s="2113"/>
      <c r="B102" s="2118"/>
      <c r="C102" s="4" t="e">
        <f>#REF!</f>
        <v>#REF!</v>
      </c>
      <c r="D102" s="91"/>
      <c r="E102" s="91"/>
      <c r="F102" s="91"/>
      <c r="G102" s="36" t="e">
        <f>#REF!</f>
        <v>#REF!</v>
      </c>
      <c r="H102" s="118"/>
      <c r="I102" s="91"/>
      <c r="J102" s="91"/>
      <c r="K102" s="3"/>
      <c r="L102" s="36"/>
      <c r="M102" s="32"/>
    </row>
    <row r="103" spans="1:13" ht="60" customHeight="1" x14ac:dyDescent="0.25">
      <c r="A103" s="2113"/>
      <c r="B103" s="2118"/>
      <c r="C103" s="4" t="s">
        <v>987</v>
      </c>
      <c r="D103" s="91"/>
      <c r="E103" s="91"/>
      <c r="F103" s="91"/>
      <c r="G103" s="91"/>
      <c r="H103" s="91"/>
      <c r="I103" s="36">
        <v>35000000</v>
      </c>
      <c r="J103" s="91"/>
      <c r="K103" s="3">
        <f t="shared" si="4"/>
        <v>35000000</v>
      </c>
      <c r="L103" s="36">
        <v>35000000</v>
      </c>
      <c r="M103" s="32">
        <f t="shared" si="5"/>
        <v>0</v>
      </c>
    </row>
    <row r="104" spans="1:13" ht="60" customHeight="1" x14ac:dyDescent="0.25">
      <c r="A104" s="2113"/>
      <c r="B104" s="2118"/>
      <c r="C104" s="4" t="s">
        <v>998</v>
      </c>
      <c r="D104" s="91"/>
      <c r="E104" s="91"/>
      <c r="F104" s="91"/>
      <c r="G104" s="36">
        <v>28570000</v>
      </c>
      <c r="H104" s="91"/>
      <c r="I104" s="91"/>
      <c r="J104" s="91"/>
      <c r="K104" s="3">
        <f t="shared" si="4"/>
        <v>28570000</v>
      </c>
      <c r="L104" s="36">
        <v>28570000</v>
      </c>
      <c r="M104" s="32">
        <f t="shared" si="5"/>
        <v>0</v>
      </c>
    </row>
    <row r="105" spans="1:13" ht="60" customHeight="1" x14ac:dyDescent="0.25">
      <c r="A105" s="2113"/>
      <c r="B105" s="2118"/>
      <c r="C105" s="4" t="s">
        <v>1162</v>
      </c>
      <c r="D105" s="91"/>
      <c r="E105" s="91"/>
      <c r="F105" s="36">
        <v>1280000</v>
      </c>
      <c r="G105" s="91"/>
      <c r="H105" s="91"/>
      <c r="I105" s="91"/>
      <c r="J105" s="91"/>
      <c r="K105" s="3">
        <f t="shared" si="4"/>
        <v>1280000</v>
      </c>
      <c r="L105" s="36">
        <v>1280000</v>
      </c>
      <c r="M105" s="32">
        <f t="shared" si="5"/>
        <v>0</v>
      </c>
    </row>
    <row r="106" spans="1:13" ht="60" customHeight="1" x14ac:dyDescent="0.25">
      <c r="A106" s="2113"/>
      <c r="B106" s="2118"/>
      <c r="C106" s="4" t="s">
        <v>1014</v>
      </c>
      <c r="D106" s="91"/>
      <c r="E106" s="91"/>
      <c r="F106" s="36">
        <v>4310000</v>
      </c>
      <c r="G106" s="91"/>
      <c r="H106" s="91"/>
      <c r="I106" s="91"/>
      <c r="J106" s="91"/>
      <c r="K106" s="3">
        <f t="shared" si="4"/>
        <v>4310000</v>
      </c>
      <c r="L106" s="36">
        <v>4310000</v>
      </c>
      <c r="M106" s="32">
        <f t="shared" si="5"/>
        <v>0</v>
      </c>
    </row>
    <row r="107" spans="1:13" ht="60" customHeight="1" x14ac:dyDescent="0.25">
      <c r="A107" s="2113"/>
      <c r="B107" s="2118"/>
      <c r="C107" s="4" t="s">
        <v>1040</v>
      </c>
      <c r="D107" s="91"/>
      <c r="E107" s="91"/>
      <c r="F107" s="91"/>
      <c r="G107" s="36">
        <v>64783647</v>
      </c>
      <c r="H107" s="91"/>
      <c r="I107" s="91"/>
      <c r="J107" s="91"/>
      <c r="K107" s="3">
        <f t="shared" si="4"/>
        <v>64783647</v>
      </c>
      <c r="L107" s="36">
        <v>64783647</v>
      </c>
      <c r="M107" s="32">
        <f t="shared" si="5"/>
        <v>0</v>
      </c>
    </row>
    <row r="108" spans="1:13" ht="60" customHeight="1" x14ac:dyDescent="0.25">
      <c r="A108" s="2113"/>
      <c r="B108" s="2118"/>
      <c r="C108" s="4" t="s">
        <v>1043</v>
      </c>
      <c r="D108" s="91"/>
      <c r="E108" s="91"/>
      <c r="F108" s="91"/>
      <c r="G108" s="36">
        <v>8790000</v>
      </c>
      <c r="H108" s="91"/>
      <c r="I108" s="91"/>
      <c r="J108" s="91"/>
      <c r="K108" s="3">
        <f t="shared" si="4"/>
        <v>8790000</v>
      </c>
      <c r="L108" s="36">
        <v>8790000</v>
      </c>
      <c r="M108" s="32">
        <f t="shared" si="5"/>
        <v>0</v>
      </c>
    </row>
    <row r="109" spans="1:13" ht="84" customHeight="1" x14ac:dyDescent="0.25">
      <c r="A109" s="2113"/>
      <c r="B109" s="2118"/>
      <c r="C109" s="4" t="s">
        <v>1051</v>
      </c>
      <c r="D109" s="91"/>
      <c r="E109" s="91"/>
      <c r="F109" s="91"/>
      <c r="G109" s="36">
        <v>22215000</v>
      </c>
      <c r="H109" s="91"/>
      <c r="I109" s="91"/>
      <c r="J109" s="91"/>
      <c r="K109" s="3">
        <f t="shared" si="4"/>
        <v>22215000</v>
      </c>
      <c r="L109" s="36">
        <v>22215000</v>
      </c>
      <c r="M109" s="32">
        <f t="shared" si="5"/>
        <v>0</v>
      </c>
    </row>
    <row r="110" spans="1:13" ht="60" customHeight="1" x14ac:dyDescent="0.25">
      <c r="A110" s="2113"/>
      <c r="B110" s="2118"/>
      <c r="C110" s="4" t="s">
        <v>1055</v>
      </c>
      <c r="D110" s="91"/>
      <c r="E110" s="91"/>
      <c r="F110" s="91"/>
      <c r="G110" s="36">
        <v>4880000</v>
      </c>
      <c r="H110" s="91"/>
      <c r="I110" s="91"/>
      <c r="J110" s="91"/>
      <c r="K110" s="3">
        <f t="shared" si="4"/>
        <v>4880000</v>
      </c>
      <c r="L110" s="36">
        <v>4880000</v>
      </c>
      <c r="M110" s="32">
        <f t="shared" si="5"/>
        <v>0</v>
      </c>
    </row>
    <row r="111" spans="1:13" ht="60" customHeight="1" x14ac:dyDescent="0.25">
      <c r="A111" s="2113"/>
      <c r="B111" s="2118"/>
      <c r="C111" s="4" t="s">
        <v>1057</v>
      </c>
      <c r="D111" s="91"/>
      <c r="E111" s="91"/>
      <c r="F111" s="142">
        <v>2215000</v>
      </c>
      <c r="G111" s="91"/>
      <c r="H111" s="91"/>
      <c r="I111" s="91"/>
      <c r="J111" s="91"/>
      <c r="K111" s="3">
        <f t="shared" si="4"/>
        <v>2215000</v>
      </c>
      <c r="L111" s="36">
        <v>2215000</v>
      </c>
      <c r="M111" s="32">
        <f t="shared" si="5"/>
        <v>0</v>
      </c>
    </row>
    <row r="112" spans="1:13" ht="60" customHeight="1" x14ac:dyDescent="0.25">
      <c r="A112" s="2122"/>
      <c r="B112" s="2121"/>
      <c r="C112" s="4" t="s">
        <v>1231</v>
      </c>
      <c r="D112" s="91"/>
      <c r="E112" s="91"/>
      <c r="F112" s="142">
        <v>30459000</v>
      </c>
      <c r="G112" s="91"/>
      <c r="H112" s="91"/>
      <c r="I112" s="91"/>
      <c r="J112" s="91"/>
      <c r="K112" s="3">
        <f t="shared" si="4"/>
        <v>30459000</v>
      </c>
      <c r="L112" s="36">
        <v>30459000</v>
      </c>
      <c r="M112" s="32">
        <f t="shared" si="5"/>
        <v>0</v>
      </c>
    </row>
    <row r="113" spans="1:13" s="116" customFormat="1" ht="45" x14ac:dyDescent="0.25">
      <c r="A113" s="2136" t="s">
        <v>1365</v>
      </c>
      <c r="B113" s="2139" t="s">
        <v>1113</v>
      </c>
      <c r="C113" s="4" t="s">
        <v>1235</v>
      </c>
      <c r="D113" s="91"/>
      <c r="E113" s="91"/>
      <c r="F113" s="142">
        <v>27128000</v>
      </c>
      <c r="G113" s="91"/>
      <c r="H113" s="91"/>
      <c r="I113" s="91"/>
      <c r="J113" s="91"/>
      <c r="K113" s="3">
        <f t="shared" si="4"/>
        <v>27128000</v>
      </c>
      <c r="L113" s="36">
        <v>27128000</v>
      </c>
      <c r="M113" s="32">
        <f>K113-L113</f>
        <v>0</v>
      </c>
    </row>
    <row r="114" spans="1:13" ht="60" x14ac:dyDescent="0.25">
      <c r="A114" s="2137"/>
      <c r="B114" s="2140"/>
      <c r="C114" s="4" t="s">
        <v>527</v>
      </c>
      <c r="D114" s="91"/>
      <c r="E114" s="91"/>
      <c r="F114" s="142">
        <v>26425000</v>
      </c>
      <c r="G114" s="91"/>
      <c r="H114" s="91"/>
      <c r="I114" s="91"/>
      <c r="J114" s="91"/>
      <c r="K114" s="3">
        <f t="shared" si="4"/>
        <v>26425000</v>
      </c>
      <c r="L114" s="36">
        <v>26425000</v>
      </c>
      <c r="M114" s="32">
        <f>K114-L114</f>
        <v>0</v>
      </c>
    </row>
    <row r="115" spans="1:13" s="116" customFormat="1" ht="59.25" customHeight="1" x14ac:dyDescent="0.25">
      <c r="A115" s="2137"/>
      <c r="B115" s="2140"/>
      <c r="C115" s="4" t="s">
        <v>1122</v>
      </c>
      <c r="D115" s="91"/>
      <c r="E115" s="91"/>
      <c r="F115" s="91"/>
      <c r="G115" s="36">
        <v>20715000</v>
      </c>
      <c r="H115" s="91"/>
      <c r="I115" s="91"/>
      <c r="J115" s="91"/>
      <c r="K115" s="3">
        <f t="shared" si="4"/>
        <v>20715000</v>
      </c>
      <c r="L115" s="36">
        <v>20715000</v>
      </c>
      <c r="M115" s="32">
        <f t="shared" ref="M115:M125" si="6">K115-L115</f>
        <v>0</v>
      </c>
    </row>
    <row r="116" spans="1:13" ht="42.75" customHeight="1" x14ac:dyDescent="0.25">
      <c r="A116" s="2137"/>
      <c r="B116" s="2140"/>
      <c r="C116" s="4" t="s">
        <v>1259</v>
      </c>
      <c r="D116" s="91"/>
      <c r="E116" s="36">
        <v>51210000</v>
      </c>
      <c r="F116" s="91"/>
      <c r="G116" s="91"/>
      <c r="H116" s="91"/>
      <c r="I116" s="91"/>
      <c r="J116" s="91"/>
      <c r="K116" s="3">
        <f t="shared" si="4"/>
        <v>51210000</v>
      </c>
      <c r="L116" s="36">
        <v>51210000</v>
      </c>
      <c r="M116" s="32">
        <f t="shared" si="6"/>
        <v>0</v>
      </c>
    </row>
    <row r="117" spans="1:13" ht="63.75" customHeight="1" x14ac:dyDescent="0.25">
      <c r="A117" s="2137"/>
      <c r="B117" s="2140"/>
      <c r="C117" s="4" t="s">
        <v>443</v>
      </c>
      <c r="D117" s="91"/>
      <c r="E117" s="91"/>
      <c r="F117" s="91"/>
      <c r="G117" s="36">
        <v>1655000</v>
      </c>
      <c r="H117" s="91"/>
      <c r="I117" s="91"/>
      <c r="J117" s="91"/>
      <c r="K117" s="3">
        <f t="shared" si="4"/>
        <v>1655000</v>
      </c>
      <c r="L117" s="36">
        <v>1655000</v>
      </c>
      <c r="M117" s="32">
        <f t="shared" si="6"/>
        <v>0</v>
      </c>
    </row>
    <row r="118" spans="1:13" ht="45" x14ac:dyDescent="0.25">
      <c r="A118" s="2137"/>
      <c r="B118" s="2140"/>
      <c r="C118" s="4" t="s">
        <v>456</v>
      </c>
      <c r="D118" s="91"/>
      <c r="E118" s="91"/>
      <c r="F118" s="91"/>
      <c r="G118" s="142">
        <v>1235000</v>
      </c>
      <c r="H118" s="91"/>
      <c r="I118" s="91"/>
      <c r="J118" s="91"/>
      <c r="K118" s="3">
        <f t="shared" si="4"/>
        <v>1235000</v>
      </c>
      <c r="L118" s="36">
        <v>1235000</v>
      </c>
      <c r="M118" s="32">
        <f t="shared" si="6"/>
        <v>0</v>
      </c>
    </row>
    <row r="119" spans="1:13" ht="33.75" customHeight="1" x14ac:dyDescent="0.25">
      <c r="A119" s="2137"/>
      <c r="B119" s="2140"/>
      <c r="C119" s="4" t="s">
        <v>494</v>
      </c>
      <c r="D119" s="91"/>
      <c r="E119" s="91"/>
      <c r="F119" s="142">
        <v>43110000</v>
      </c>
      <c r="G119" s="91"/>
      <c r="H119" s="91"/>
      <c r="I119" s="91"/>
      <c r="J119" s="91"/>
      <c r="K119" s="3">
        <f t="shared" si="4"/>
        <v>43110000</v>
      </c>
      <c r="L119" s="36">
        <v>43110000</v>
      </c>
      <c r="M119" s="32">
        <f t="shared" si="6"/>
        <v>0</v>
      </c>
    </row>
    <row r="120" spans="1:13" ht="54" customHeight="1" x14ac:dyDescent="0.25">
      <c r="A120" s="2137"/>
      <c r="B120" s="2140"/>
      <c r="C120" s="4" t="s">
        <v>460</v>
      </c>
      <c r="D120" s="91"/>
      <c r="E120" s="91"/>
      <c r="F120" s="142">
        <v>19120000</v>
      </c>
      <c r="G120" s="91"/>
      <c r="H120" s="91"/>
      <c r="I120" s="91"/>
      <c r="J120" s="91"/>
      <c r="K120" s="3">
        <f t="shared" si="4"/>
        <v>19120000</v>
      </c>
      <c r="L120" s="36">
        <v>19120000</v>
      </c>
      <c r="M120" s="32">
        <f t="shared" si="6"/>
        <v>0</v>
      </c>
    </row>
    <row r="121" spans="1:13" ht="66.75" customHeight="1" x14ac:dyDescent="0.25">
      <c r="A121" s="2137"/>
      <c r="B121" s="2140"/>
      <c r="C121" s="4" t="s">
        <v>1352</v>
      </c>
      <c r="D121" s="91"/>
      <c r="E121" s="91"/>
      <c r="F121" s="91"/>
      <c r="G121" s="142">
        <v>4090000</v>
      </c>
      <c r="H121" s="91"/>
      <c r="I121" s="91"/>
      <c r="J121" s="91"/>
      <c r="K121" s="3">
        <f t="shared" si="4"/>
        <v>4090000</v>
      </c>
      <c r="L121" s="36">
        <v>4090000</v>
      </c>
      <c r="M121" s="32">
        <f t="shared" si="6"/>
        <v>0</v>
      </c>
    </row>
    <row r="122" spans="1:13" ht="61.5" customHeight="1" x14ac:dyDescent="0.25">
      <c r="A122" s="2137"/>
      <c r="B122" s="2140"/>
      <c r="C122" s="4" t="s">
        <v>1242</v>
      </c>
      <c r="D122" s="91"/>
      <c r="E122" s="91"/>
      <c r="F122" s="91"/>
      <c r="G122" s="142">
        <v>11080000</v>
      </c>
      <c r="H122" s="91"/>
      <c r="I122" s="91"/>
      <c r="J122" s="91"/>
      <c r="K122" s="3">
        <f t="shared" si="4"/>
        <v>11080000</v>
      </c>
      <c r="L122" s="36">
        <v>11080000</v>
      </c>
      <c r="M122" s="32">
        <f t="shared" si="6"/>
        <v>0</v>
      </c>
    </row>
    <row r="123" spans="1:13" ht="30" x14ac:dyDescent="0.25">
      <c r="A123" s="2137"/>
      <c r="B123" s="2140"/>
      <c r="C123" s="4" t="s">
        <v>1288</v>
      </c>
      <c r="D123" s="91"/>
      <c r="E123" s="91"/>
      <c r="F123" s="91"/>
      <c r="G123" s="142">
        <v>9792000</v>
      </c>
      <c r="H123" s="91"/>
      <c r="I123" s="91"/>
      <c r="J123" s="91"/>
      <c r="K123" s="3">
        <f t="shared" si="4"/>
        <v>9792000</v>
      </c>
      <c r="L123" s="36">
        <v>9792000</v>
      </c>
      <c r="M123" s="32">
        <f t="shared" si="6"/>
        <v>0</v>
      </c>
    </row>
    <row r="124" spans="1:13" ht="30" x14ac:dyDescent="0.25">
      <c r="A124" s="2137"/>
      <c r="B124" s="2140"/>
      <c r="C124" s="4" t="s">
        <v>1287</v>
      </c>
      <c r="D124" s="91"/>
      <c r="E124" s="91"/>
      <c r="F124" s="36">
        <v>30000000</v>
      </c>
      <c r="G124" s="91"/>
      <c r="H124" s="91"/>
      <c r="I124" s="91"/>
      <c r="J124" s="91"/>
      <c r="K124" s="3">
        <f t="shared" si="4"/>
        <v>30000000</v>
      </c>
      <c r="L124" s="36">
        <v>30000000</v>
      </c>
      <c r="M124" s="32">
        <f t="shared" si="6"/>
        <v>0</v>
      </c>
    </row>
    <row r="125" spans="1:13" ht="75" x14ac:dyDescent="0.25">
      <c r="A125" s="2137"/>
      <c r="B125" s="2140"/>
      <c r="C125" s="4" t="s">
        <v>501</v>
      </c>
      <c r="D125" s="91"/>
      <c r="E125" s="91"/>
      <c r="F125" s="91"/>
      <c r="G125" s="142">
        <v>1205000</v>
      </c>
      <c r="H125" s="91"/>
      <c r="I125" s="91"/>
      <c r="J125" s="91"/>
      <c r="K125" s="3">
        <f t="shared" si="4"/>
        <v>1205000</v>
      </c>
      <c r="L125" s="36">
        <v>1205000</v>
      </c>
      <c r="M125" s="32">
        <f t="shared" si="6"/>
        <v>0</v>
      </c>
    </row>
    <row r="126" spans="1:13" ht="52.5" customHeight="1" x14ac:dyDescent="0.25">
      <c r="A126" s="2138"/>
      <c r="B126" s="2141"/>
      <c r="C126" s="4" t="e">
        <f>'BID IV'!#REF!</f>
        <v>#REF!</v>
      </c>
      <c r="D126" s="91"/>
      <c r="E126" s="91" t="e">
        <f>'BID IV'!#REF!</f>
        <v>#REF!</v>
      </c>
      <c r="F126" s="91"/>
      <c r="G126" s="142"/>
      <c r="H126" s="91"/>
      <c r="I126" s="91"/>
      <c r="J126" s="91"/>
      <c r="K126" s="3"/>
      <c r="L126" s="36"/>
      <c r="M126" s="32"/>
    </row>
    <row r="127" spans="1:13" s="97" customFormat="1" ht="36" customHeight="1" x14ac:dyDescent="0.25">
      <c r="A127" s="2073" t="s">
        <v>1397</v>
      </c>
      <c r="B127" s="2073"/>
      <c r="C127" s="2073"/>
      <c r="D127" s="138">
        <f>SUM(D13:D125)</f>
        <v>142345740.5</v>
      </c>
      <c r="E127" s="138" t="e">
        <f>SUM(E13:E126)</f>
        <v>#REF!</v>
      </c>
      <c r="F127" s="138">
        <f>SUM(F13:F125)</f>
        <v>3878246119</v>
      </c>
      <c r="G127" s="138" t="e">
        <f>SUM(G13:G125)</f>
        <v>#REF!</v>
      </c>
      <c r="H127" s="138">
        <f>SUM(H13:H125)</f>
        <v>150000000</v>
      </c>
      <c r="I127" s="138">
        <f>SUM(I13:I125)</f>
        <v>303000000</v>
      </c>
      <c r="J127" s="138">
        <f>SUM(J13:J125)</f>
        <v>72000</v>
      </c>
      <c r="K127" s="139" t="e">
        <f>SUM(D127:J127)</f>
        <v>#REF!</v>
      </c>
      <c r="L127" s="6"/>
    </row>
    <row r="128" spans="1:13" ht="15.75" x14ac:dyDescent="0.25">
      <c r="C128" s="42" t="s">
        <v>548</v>
      </c>
      <c r="D128" s="121" t="e">
        <f>#REF!</f>
        <v>#REF!</v>
      </c>
      <c r="E128" s="3"/>
      <c r="F128" s="3"/>
      <c r="G128" s="3"/>
      <c r="H128" s="3"/>
      <c r="I128" s="3"/>
      <c r="J128" s="3"/>
      <c r="K128" s="3" t="e">
        <f>SUM(D128:J128)</f>
        <v>#REF!</v>
      </c>
      <c r="L128" s="122"/>
      <c r="M128" s="122"/>
    </row>
    <row r="129" spans="1:12" ht="15.75" x14ac:dyDescent="0.25">
      <c r="A129" s="7"/>
      <c r="B129" s="7"/>
      <c r="C129" s="7"/>
      <c r="D129" s="123"/>
      <c r="E129" s="123"/>
      <c r="F129" s="123"/>
      <c r="G129" s="123"/>
      <c r="H129" s="123"/>
      <c r="I129" s="123"/>
      <c r="J129" s="123"/>
      <c r="K129" s="88"/>
    </row>
    <row r="130" spans="1:12" ht="15.75" x14ac:dyDescent="0.25">
      <c r="A130" s="7"/>
      <c r="B130" s="7"/>
      <c r="C130" s="7"/>
      <c r="D130" s="120"/>
      <c r="E130" s="123"/>
      <c r="F130" s="124"/>
      <c r="G130" s="123"/>
      <c r="H130" s="88"/>
      <c r="I130" s="88"/>
      <c r="J130" s="88"/>
      <c r="K130" s="88"/>
      <c r="L130" s="7"/>
    </row>
    <row r="131" spans="1:12" ht="15.75" x14ac:dyDescent="0.25">
      <c r="A131" s="7"/>
      <c r="B131" s="7"/>
      <c r="C131" s="7"/>
      <c r="D131" s="88"/>
      <c r="E131" s="123"/>
      <c r="F131" s="124"/>
      <c r="G131" s="123"/>
      <c r="H131" s="88"/>
      <c r="I131" s="88"/>
      <c r="J131" s="88"/>
      <c r="K131" s="88"/>
      <c r="L131" s="7"/>
    </row>
    <row r="132" spans="1:12" ht="15.75" x14ac:dyDescent="0.25">
      <c r="A132" s="7"/>
      <c r="B132" s="7"/>
      <c r="C132" s="7"/>
      <c r="D132" s="88"/>
      <c r="E132" s="88"/>
      <c r="F132" s="88"/>
      <c r="G132" s="88"/>
      <c r="H132" s="88" t="s">
        <v>1402</v>
      </c>
      <c r="I132" s="88"/>
      <c r="J132" s="88"/>
      <c r="K132" s="88"/>
      <c r="L132" s="7"/>
    </row>
    <row r="133" spans="1:12" ht="15.75" x14ac:dyDescent="0.25">
      <c r="A133" s="7"/>
      <c r="B133" s="2096" t="s">
        <v>1332</v>
      </c>
      <c r="C133" s="2096"/>
      <c r="D133" s="2096"/>
      <c r="E133" s="88"/>
      <c r="F133" s="88"/>
      <c r="G133" s="88"/>
      <c r="H133" s="88" t="s">
        <v>1116</v>
      </c>
      <c r="I133" s="88"/>
      <c r="J133" s="88"/>
      <c r="K133" s="88"/>
      <c r="L133" s="7"/>
    </row>
    <row r="134" spans="1:12" ht="15.75" x14ac:dyDescent="0.25">
      <c r="A134" s="7"/>
      <c r="B134" s="2096" t="s">
        <v>1405</v>
      </c>
      <c r="C134" s="2096"/>
      <c r="D134" s="2096"/>
      <c r="E134" s="88"/>
      <c r="F134" s="88"/>
      <c r="G134" s="88"/>
      <c r="H134" s="88" t="s">
        <v>1403</v>
      </c>
      <c r="I134" s="88"/>
      <c r="J134" s="88"/>
      <c r="K134" s="88"/>
      <c r="L134" s="7"/>
    </row>
    <row r="135" spans="1:12" ht="15.75" x14ac:dyDescent="0.25">
      <c r="A135" s="7"/>
      <c r="B135" s="7"/>
      <c r="C135" s="7"/>
      <c r="D135" s="88"/>
      <c r="E135" s="88"/>
      <c r="F135" s="88"/>
      <c r="G135" s="88"/>
      <c r="H135" s="88"/>
      <c r="I135" s="88"/>
      <c r="J135" s="88"/>
      <c r="K135" s="88"/>
      <c r="L135" s="7"/>
    </row>
    <row r="136" spans="1:12" ht="15.75" x14ac:dyDescent="0.25">
      <c r="A136" s="7"/>
      <c r="B136" s="7"/>
      <c r="C136" s="7"/>
      <c r="D136" s="88"/>
      <c r="E136" s="88"/>
      <c r="F136" s="88"/>
      <c r="G136" s="88"/>
      <c r="H136" s="88"/>
      <c r="I136" s="88"/>
      <c r="J136" s="88"/>
      <c r="K136" s="88"/>
      <c r="L136" s="7"/>
    </row>
    <row r="137" spans="1:12" ht="16.5" x14ac:dyDescent="0.3">
      <c r="A137" s="7"/>
      <c r="B137" s="7"/>
      <c r="C137" s="7"/>
      <c r="D137" s="88"/>
      <c r="E137" s="88"/>
      <c r="F137" s="137"/>
      <c r="G137" s="88"/>
      <c r="H137" s="88"/>
      <c r="I137" s="88"/>
      <c r="J137" s="88"/>
      <c r="K137" s="88"/>
      <c r="L137" s="7"/>
    </row>
    <row r="138" spans="1:12" ht="15.75" x14ac:dyDescent="0.25">
      <c r="A138" s="7"/>
      <c r="B138" s="2096" t="s">
        <v>1117</v>
      </c>
      <c r="C138" s="2096"/>
      <c r="D138" s="2096"/>
      <c r="E138" s="88"/>
      <c r="F138" s="88"/>
      <c r="G138" s="88"/>
      <c r="H138" s="88" t="s">
        <v>1118</v>
      </c>
      <c r="I138" s="88"/>
      <c r="J138" s="88"/>
      <c r="K138" s="88"/>
      <c r="L138" s="7"/>
    </row>
    <row r="140" spans="1:12" x14ac:dyDescent="0.25">
      <c r="H140" s="3"/>
    </row>
    <row r="141" spans="1:12" x14ac:dyDescent="0.25">
      <c r="H141" s="3"/>
    </row>
  </sheetData>
  <mergeCells count="24">
    <mergeCell ref="B134:D134"/>
    <mergeCell ref="B138:D138"/>
    <mergeCell ref="A127:C127"/>
    <mergeCell ref="B133:D133"/>
    <mergeCell ref="A113:A126"/>
    <mergeCell ref="B113:B126"/>
    <mergeCell ref="A1:J1"/>
    <mergeCell ref="A2:J2"/>
    <mergeCell ref="A9:A11"/>
    <mergeCell ref="B9:B11"/>
    <mergeCell ref="C9:C11"/>
    <mergeCell ref="D9:J9"/>
    <mergeCell ref="D10:D11"/>
    <mergeCell ref="E10:E11"/>
    <mergeCell ref="F10:F11"/>
    <mergeCell ref="G10:G11"/>
    <mergeCell ref="H10:I10"/>
    <mergeCell ref="J10:J11"/>
    <mergeCell ref="B44:B85"/>
    <mergeCell ref="A44:A85"/>
    <mergeCell ref="B13:B43"/>
    <mergeCell ref="A13:A43"/>
    <mergeCell ref="B86:B112"/>
    <mergeCell ref="A86:A112"/>
  </mergeCells>
  <pageMargins left="0.7" right="0.7" top="0.75" bottom="0.75" header="0.3" footer="0.3"/>
  <pageSetup paperSize="9" scale="6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>
      <pane xSplit="19920" ySplit="900" topLeftCell="E1" activePane="bottomLeft"/>
      <selection activeCell="N3" sqref="N1:N1048576"/>
      <selection pane="topRight" activeCell="E1" sqref="E1"/>
      <selection pane="bottomLeft" activeCell="B9" sqref="B9"/>
      <selection pane="bottomRight" activeCell="E6" sqref="E6"/>
    </sheetView>
  </sheetViews>
  <sheetFormatPr defaultRowHeight="15" x14ac:dyDescent="0.25"/>
  <cols>
    <col min="1" max="1" width="4.28515625" style="129" customWidth="1"/>
    <col min="2" max="2" width="15.7109375" style="5" customWidth="1"/>
    <col min="3" max="3" width="20.140625" style="5" customWidth="1"/>
    <col min="4" max="4" width="16.140625" style="83" customWidth="1"/>
    <col min="5" max="5" width="14.85546875" style="83" customWidth="1"/>
    <col min="6" max="6" width="15.28515625" style="83" customWidth="1"/>
    <col min="7" max="7" width="14.28515625" style="83" bestFit="1" customWidth="1"/>
    <col min="8" max="8" width="9.140625" style="83"/>
    <col min="9" max="9" width="5.5703125" style="83" customWidth="1"/>
    <col min="10" max="10" width="11.140625" style="83" customWidth="1"/>
    <col min="11" max="11" width="7.28515625" style="83" customWidth="1"/>
    <col min="12" max="12" width="5.85546875" style="83" customWidth="1"/>
    <col min="13" max="13" width="6.7109375" style="83" customWidth="1"/>
    <col min="14" max="14" width="8.7109375" style="83" customWidth="1"/>
  </cols>
  <sheetData>
    <row r="1" spans="1:14" x14ac:dyDescent="0.25">
      <c r="A1" s="2142" t="s">
        <v>1418</v>
      </c>
      <c r="B1" s="2142"/>
      <c r="C1" s="2142"/>
      <c r="D1" s="2142"/>
      <c r="E1" s="2142"/>
      <c r="F1" s="2142"/>
      <c r="G1" s="2142"/>
      <c r="H1" s="2142"/>
      <c r="I1" s="2142"/>
      <c r="J1" s="2142"/>
      <c r="K1" s="2142"/>
      <c r="L1" s="2142"/>
      <c r="M1" s="2142"/>
      <c r="N1" s="2142"/>
    </row>
    <row r="2" spans="1:14" x14ac:dyDescent="0.25">
      <c r="A2" s="2067" t="s">
        <v>1419</v>
      </c>
      <c r="B2" s="2067"/>
      <c r="C2" s="2067"/>
      <c r="D2" s="2067"/>
      <c r="E2" s="2067"/>
      <c r="F2" s="2067"/>
      <c r="G2" s="2067"/>
      <c r="H2" s="2067"/>
      <c r="I2" s="2067"/>
      <c r="J2" s="2067"/>
      <c r="K2" s="2067"/>
      <c r="L2" s="2067"/>
      <c r="M2" s="2067"/>
      <c r="N2" s="2067"/>
    </row>
    <row r="4" spans="1:14" x14ac:dyDescent="0.25">
      <c r="A4" s="2066" t="s">
        <v>1039</v>
      </c>
      <c r="B4" s="2070" t="s">
        <v>1407</v>
      </c>
      <c r="C4" s="2070" t="s">
        <v>754</v>
      </c>
      <c r="D4" s="2144" t="s">
        <v>1408</v>
      </c>
      <c r="E4" s="2145" t="s">
        <v>329</v>
      </c>
      <c r="F4" s="2145"/>
      <c r="G4" s="2145"/>
      <c r="H4" s="2145"/>
      <c r="I4" s="2145"/>
      <c r="J4" s="2145"/>
      <c r="K4" s="2145"/>
      <c r="L4" s="2145"/>
      <c r="M4" s="2145"/>
      <c r="N4" s="2145" t="s">
        <v>266</v>
      </c>
    </row>
    <row r="5" spans="1:14" ht="27" customHeight="1" x14ac:dyDescent="0.25">
      <c r="A5" s="2066"/>
      <c r="B5" s="2070"/>
      <c r="C5" s="2070"/>
      <c r="D5" s="2144"/>
      <c r="E5" s="127" t="s">
        <v>1409</v>
      </c>
      <c r="F5" s="127" t="s">
        <v>1410</v>
      </c>
      <c r="G5" s="127" t="s">
        <v>1411</v>
      </c>
      <c r="H5" s="127" t="s">
        <v>1412</v>
      </c>
      <c r="I5" s="127" t="s">
        <v>1413</v>
      </c>
      <c r="J5" s="143" t="s">
        <v>1414</v>
      </c>
      <c r="K5" s="127" t="s">
        <v>1415</v>
      </c>
      <c r="L5" s="127" t="s">
        <v>1416</v>
      </c>
      <c r="M5" s="127" t="s">
        <v>1417</v>
      </c>
      <c r="N5" s="2145"/>
    </row>
    <row r="6" spans="1:14" ht="30" x14ac:dyDescent="0.25">
      <c r="A6" s="35">
        <v>1</v>
      </c>
      <c r="B6" s="4" t="s">
        <v>1102</v>
      </c>
      <c r="C6" s="117" t="str">
        <f>'Rencana Pembiayaan Desa'!C47</f>
        <v>: Posyandu Remaja</v>
      </c>
      <c r="D6" s="91">
        <f>'Rencana Pembiayaan Desa'!E47</f>
        <v>16110000</v>
      </c>
      <c r="E6" s="91"/>
      <c r="F6" s="91">
        <f>'Rencana Pembiayaan Desa'!E47</f>
        <v>16110000</v>
      </c>
      <c r="G6" s="91"/>
      <c r="H6" s="91"/>
      <c r="I6" s="91"/>
      <c r="J6" s="91"/>
      <c r="K6" s="91"/>
      <c r="L6" s="91"/>
      <c r="M6" s="91"/>
      <c r="N6" s="91"/>
    </row>
    <row r="7" spans="1:14" ht="45" x14ac:dyDescent="0.25">
      <c r="A7" s="35">
        <v>2</v>
      </c>
      <c r="B7" s="4" t="s">
        <v>1102</v>
      </c>
      <c r="C7" s="117" t="str">
        <f>'Rencana Pembiayaan Desa'!C48</f>
        <v>: Penyelenggaraan Posyandu (Pemberian PMT)</v>
      </c>
      <c r="D7" s="91">
        <f>'Rencana Pembiayaan Desa'!F48</f>
        <v>249118000</v>
      </c>
      <c r="E7" s="91">
        <f>'Rencana Pembiayaan Desa'!F48</f>
        <v>249118000</v>
      </c>
      <c r="F7" s="91"/>
      <c r="G7" s="91"/>
      <c r="H7" s="91"/>
      <c r="I7" s="91"/>
      <c r="J7" s="91"/>
      <c r="K7" s="91"/>
      <c r="L7" s="91"/>
      <c r="M7" s="91"/>
      <c r="N7" s="91"/>
    </row>
    <row r="8" spans="1:14" ht="45" x14ac:dyDescent="0.25">
      <c r="A8" s="35">
        <v>3</v>
      </c>
      <c r="B8" s="4" t="s">
        <v>1102</v>
      </c>
      <c r="C8" s="117" t="str">
        <f>'Rencana Pembiayaan Desa'!C49</f>
        <v>: Penyelenggaraan POSyandu (Pos Gizi dan Ibu Hamil)</v>
      </c>
      <c r="D8" s="91">
        <f>'Rencana Pembiayaan Desa'!E49</f>
        <v>4230000</v>
      </c>
      <c r="E8" s="91"/>
      <c r="F8" s="91">
        <f>'Rencana Pembiayaan Desa'!E49</f>
        <v>4230000</v>
      </c>
      <c r="G8" s="91"/>
      <c r="H8" s="91"/>
      <c r="I8" s="91"/>
      <c r="J8" s="91"/>
      <c r="K8" s="91"/>
      <c r="L8" s="91"/>
      <c r="M8" s="91"/>
      <c r="N8" s="91"/>
    </row>
    <row r="9" spans="1:14" ht="95.25" customHeight="1" x14ac:dyDescent="0.25">
      <c r="A9" s="35">
        <v>4</v>
      </c>
      <c r="B9" s="4" t="s">
        <v>1102</v>
      </c>
      <c r="C9" s="117" t="str">
        <f>'Rencana Pembiayaan Desa'!C50</f>
        <v xml:space="preserve"> :  Pengasuhan Bersama atau Bina Keluarga Balita (Pelaksanaan Kegiatan Bina keluarga Balita BKB )</v>
      </c>
      <c r="D9" s="91">
        <f>'Rencana Pembiayaan Desa'!F50</f>
        <v>56775000</v>
      </c>
      <c r="E9" s="91">
        <f>'Rencana Pembiayaan Desa'!F50</f>
        <v>56775000</v>
      </c>
      <c r="F9" s="91"/>
      <c r="G9" s="91"/>
      <c r="H9" s="91"/>
      <c r="I9" s="91"/>
      <c r="J9" s="91"/>
      <c r="K9" s="91"/>
      <c r="L9" s="91"/>
      <c r="M9" s="91"/>
      <c r="N9" s="91"/>
    </row>
    <row r="10" spans="1:14" ht="90" x14ac:dyDescent="0.25">
      <c r="A10" s="35">
        <v>5</v>
      </c>
      <c r="B10" s="4" t="s">
        <v>1102</v>
      </c>
      <c r="C10" s="117" t="str">
        <f>'Rencana Pembiayaan Desa'!C51</f>
        <v xml:space="preserve"> :  Pengasuhan Bersama atau Bina Keluarga Lansia (Pelaksanaan Kegiatan Bina keluarga lansia BKL )</v>
      </c>
      <c r="D10" s="91">
        <f>'Rencana Pembiayaan Desa'!E51</f>
        <v>8340000</v>
      </c>
      <c r="E10" s="91"/>
      <c r="F10" s="91">
        <f>'Rencana Pembiayaan Desa'!E51</f>
        <v>8340000</v>
      </c>
      <c r="G10" s="91"/>
      <c r="H10" s="91"/>
      <c r="I10" s="91"/>
      <c r="J10" s="91"/>
      <c r="K10" s="91"/>
      <c r="L10" s="91"/>
      <c r="M10" s="91"/>
      <c r="N10" s="91"/>
    </row>
    <row r="11" spans="1:14" ht="75" x14ac:dyDescent="0.25">
      <c r="A11" s="35">
        <v>6</v>
      </c>
      <c r="B11" s="4" t="s">
        <v>1102</v>
      </c>
      <c r="C11" s="117" t="str">
        <f>'Rencana Pembiayaan Desa'!C52</f>
        <v>: Penyuluhan dan Pelatihan Bidang Kesehatan (Pembinaan Kader POSyandu)</v>
      </c>
      <c r="D11" s="91">
        <f>'Rencana Pembiayaan Desa'!F52</f>
        <v>1830000</v>
      </c>
      <c r="E11" s="91">
        <f>'Rencana Pembiayaan Desa'!F52</f>
        <v>1830000</v>
      </c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60" x14ac:dyDescent="0.25">
      <c r="A12" s="35">
        <v>7</v>
      </c>
      <c r="B12" s="4" t="s">
        <v>1102</v>
      </c>
      <c r="C12" s="117" t="str">
        <f>'Rencana Pembiayaan Desa'!C53</f>
        <v>: Penyuluhan dan Pelatihan Bidang Kesehatan(Sosialisasi Stunting)</v>
      </c>
      <c r="D12" s="91">
        <f>'Rencana Pembiayaan Desa'!E53</f>
        <v>2740000</v>
      </c>
      <c r="E12" s="91"/>
      <c r="F12" s="91">
        <f>'Rencana Pembiayaan Desa'!E53</f>
        <v>2740000</v>
      </c>
      <c r="G12" s="91"/>
      <c r="H12" s="91"/>
      <c r="I12" s="91"/>
      <c r="J12" s="91"/>
      <c r="K12" s="91"/>
      <c r="L12" s="91"/>
      <c r="M12" s="91"/>
      <c r="N12" s="91"/>
    </row>
    <row r="13" spans="1:14" ht="72" customHeight="1" x14ac:dyDescent="0.25">
      <c r="A13" s="35">
        <v>8</v>
      </c>
      <c r="B13" s="4" t="s">
        <v>1102</v>
      </c>
      <c r="C13" s="117" t="str">
        <f>'Rencana Pembiayaan Desa'!C55</f>
        <v>: Penyuluhan dan Pelatihan Bidang Kesehatan (Penyuluhan Narkoba dan HIV/AIDS)</v>
      </c>
      <c r="D13" s="91">
        <f>'Rencana Pembiayaan Desa'!E55</f>
        <v>19940000</v>
      </c>
      <c r="E13" s="91"/>
      <c r="F13" s="91">
        <f>'Rencana Pembiayaan Desa'!E55</f>
        <v>19940000</v>
      </c>
      <c r="G13" s="91"/>
      <c r="H13" s="91"/>
      <c r="I13" s="91"/>
      <c r="J13" s="91"/>
      <c r="K13" s="91"/>
      <c r="L13" s="91"/>
      <c r="M13" s="91"/>
      <c r="N13" s="91"/>
    </row>
    <row r="14" spans="1:14" ht="103.5" customHeight="1" x14ac:dyDescent="0.25">
      <c r="A14" s="35">
        <v>9</v>
      </c>
      <c r="B14" s="4" t="s">
        <v>1102</v>
      </c>
      <c r="C14" s="117" t="str">
        <f>'Rencana Pembiayaan Desa'!C56</f>
        <v>: Penyuluhan dan Pelatihan Bidang Kesehatan (Pemberian tambahan nutrisi bagi lansia)</v>
      </c>
      <c r="D14" s="91">
        <f>'Rencana Pembiayaan Desa'!E56</f>
        <v>101104000</v>
      </c>
      <c r="E14" s="91"/>
      <c r="F14" s="91">
        <f>'Rencana Pembiayaan Desa'!E56</f>
        <v>101104000</v>
      </c>
      <c r="G14" s="91"/>
      <c r="H14" s="91"/>
      <c r="I14" s="91"/>
      <c r="J14" s="91"/>
      <c r="K14" s="91"/>
      <c r="L14" s="91"/>
      <c r="M14" s="91"/>
      <c r="N14" s="91"/>
    </row>
    <row r="15" spans="1:14" ht="60" x14ac:dyDescent="0.25">
      <c r="A15" s="35">
        <v>10</v>
      </c>
      <c r="B15" s="4" t="s">
        <v>1102</v>
      </c>
      <c r="C15" s="117" t="str">
        <f>'Rencana Pembiayaan Desa'!C57</f>
        <v>: Penyuluhan dan Pelatihan Bidang Kesehatan (Posbindu)</v>
      </c>
      <c r="D15" s="91">
        <f>'Rencana Pembiayaan Desa'!E57</f>
        <v>14295000</v>
      </c>
      <c r="E15" s="91"/>
      <c r="F15" s="91">
        <f>'Rencana Pembiayaan Desa'!E57</f>
        <v>14295000</v>
      </c>
      <c r="G15" s="91"/>
      <c r="H15" s="91"/>
      <c r="I15" s="91"/>
      <c r="J15" s="91"/>
      <c r="K15" s="91"/>
      <c r="L15" s="91"/>
      <c r="M15" s="91"/>
      <c r="N15" s="91"/>
    </row>
    <row r="16" spans="1:14" ht="60" x14ac:dyDescent="0.25">
      <c r="A16" s="35">
        <v>11</v>
      </c>
      <c r="B16" s="4" t="s">
        <v>1102</v>
      </c>
      <c r="C16" s="117" t="str">
        <f>'Rencana Pembiayaan Desa'!C58</f>
        <v>: Penyuluhan dan Pelatihan Bidang Kesehatan (Penyuluhan KB)</v>
      </c>
      <c r="D16" s="91">
        <f>'Rencana Pembiayaan Desa'!F58</f>
        <v>17685000</v>
      </c>
      <c r="E16" s="91">
        <f>'Rencana Pembiayaan Desa'!F58</f>
        <v>17685000</v>
      </c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60" x14ac:dyDescent="0.25">
      <c r="A17" s="35">
        <v>12</v>
      </c>
      <c r="B17" s="4" t="s">
        <v>1102</v>
      </c>
      <c r="C17" s="117" t="str">
        <f>'Rencana Pembiayaan Desa'!C59</f>
        <v>: Penyuluhan dan Pelatihan Bidang Kesehatan (Desa Siaga Kesehatan)</v>
      </c>
      <c r="D17" s="91">
        <f>'Rencana Pembiayaan Desa'!F59</f>
        <v>2665000</v>
      </c>
      <c r="E17" s="91">
        <f>'Rencana Pembiayaan Desa'!F59</f>
        <v>2665000</v>
      </c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75" x14ac:dyDescent="0.25">
      <c r="A18" s="35">
        <v>13</v>
      </c>
      <c r="B18" s="4" t="s">
        <v>1102</v>
      </c>
      <c r="C18" s="117" t="str">
        <f>'Rencana Pembiayaan Desa'!C60</f>
        <v xml:space="preserve"> :Pengasuhan Bersama atau Bina Keluarga Balita (Pembinaan  kader BKB)</v>
      </c>
      <c r="D18" s="91">
        <f>'Rencana Pembiayaan Desa'!F60</f>
        <v>2385000</v>
      </c>
      <c r="E18" s="91">
        <f>'Rencana Pembiayaan Desa'!F60</f>
        <v>2385000</v>
      </c>
      <c r="F18" s="91"/>
      <c r="G18" s="91"/>
      <c r="H18" s="91"/>
      <c r="I18" s="91"/>
      <c r="J18" s="91"/>
      <c r="K18" s="91"/>
      <c r="L18" s="91"/>
      <c r="M18" s="91"/>
      <c r="N18" s="91"/>
    </row>
    <row r="19" spans="1:14" ht="90" x14ac:dyDescent="0.25">
      <c r="A19" s="35">
        <v>14</v>
      </c>
      <c r="B19" s="4" t="s">
        <v>1102</v>
      </c>
      <c r="C19" s="117" t="str">
        <f>'Rencana Pembiayaan Desa'!C61</f>
        <v xml:space="preserve"> :  Pengasuhan Bersama atau Bina Keluarga Balita (Pembinaan Kegiatan Bina keluarga Remaja BKR )</v>
      </c>
      <c r="D19" s="91">
        <f>'Rencana Pembiayaan Desa'!E61</f>
        <v>1690000</v>
      </c>
      <c r="E19" s="91"/>
      <c r="F19" s="91">
        <f>'Rencana Pembiayaan Desa'!E61</f>
        <v>1690000</v>
      </c>
      <c r="G19" s="91"/>
      <c r="H19" s="91"/>
      <c r="I19" s="91"/>
      <c r="J19" s="91"/>
      <c r="K19" s="91"/>
      <c r="L19" s="91"/>
      <c r="M19" s="91"/>
      <c r="N19" s="91"/>
    </row>
    <row r="20" spans="1:14" ht="75" x14ac:dyDescent="0.25">
      <c r="A20" s="35">
        <v>15</v>
      </c>
      <c r="B20" s="4" t="s">
        <v>1102</v>
      </c>
      <c r="C20" s="117" t="str">
        <f>'Rencana Pembiayaan Desa'!C62</f>
        <v xml:space="preserve"> :  Pengasuhan Bersama atau Bina Keluarga Remaja (Penyelenggaraan BKR)</v>
      </c>
      <c r="D20" s="91">
        <f>'Rencana Pembiayaan Desa'!F62</f>
        <v>8040000</v>
      </c>
      <c r="E20" s="91">
        <f>'Rencana Pembiayaan Desa'!F62</f>
        <v>8040000</v>
      </c>
      <c r="F20" s="91"/>
      <c r="G20" s="91"/>
      <c r="H20" s="91"/>
      <c r="I20" s="91"/>
      <c r="J20" s="91"/>
      <c r="K20" s="91"/>
      <c r="L20" s="91"/>
      <c r="M20" s="91"/>
      <c r="N20" s="91"/>
    </row>
    <row r="21" spans="1:14" ht="30" x14ac:dyDescent="0.25">
      <c r="A21" s="35">
        <v>16</v>
      </c>
      <c r="B21" s="4" t="s">
        <v>1102</v>
      </c>
      <c r="C21" s="117" t="str">
        <f>'Rencana Pembiayaan Desa'!C63</f>
        <v xml:space="preserve"> :Pendampingan calon pengantin</v>
      </c>
      <c r="D21" s="91">
        <f>'Rencana Pembiayaan Desa'!G63</f>
        <v>5757500</v>
      </c>
      <c r="E21" s="91"/>
      <c r="F21" s="91"/>
      <c r="G21" s="91">
        <f>D21</f>
        <v>5757500</v>
      </c>
      <c r="H21" s="91"/>
      <c r="I21" s="91"/>
      <c r="J21" s="91"/>
      <c r="K21" s="91"/>
      <c r="L21" s="91"/>
      <c r="M21" s="91"/>
      <c r="N21" s="91"/>
    </row>
    <row r="22" spans="1:14" ht="45" x14ac:dyDescent="0.25">
      <c r="A22" s="35">
        <v>17</v>
      </c>
      <c r="B22" s="4" t="s">
        <v>1102</v>
      </c>
      <c r="C22" s="117" t="str">
        <f>'Rencana Pembiayaan Desa'!C64</f>
        <v>:Penyelenggaraan Pembinaan dan Lomba Balita Sehat</v>
      </c>
      <c r="D22" s="91">
        <f>'Rencana Pembiayaan Desa'!G64</f>
        <v>10455000</v>
      </c>
      <c r="E22" s="91"/>
      <c r="F22" s="91"/>
      <c r="G22" s="91">
        <f>D22</f>
        <v>10455000</v>
      </c>
      <c r="H22" s="91"/>
      <c r="I22" s="91"/>
      <c r="J22" s="91"/>
      <c r="K22" s="91"/>
      <c r="L22" s="91"/>
      <c r="M22" s="91"/>
      <c r="N22" s="91"/>
    </row>
    <row r="23" spans="1:14" ht="30" x14ac:dyDescent="0.25">
      <c r="A23" s="35">
        <v>18</v>
      </c>
      <c r="B23" s="4" t="s">
        <v>1102</v>
      </c>
      <c r="C23" s="117" t="str">
        <f>'Rencana Pembiayaan Desa'!C65</f>
        <v>:  Foging Fokus</v>
      </c>
      <c r="D23" s="91">
        <f>'Rencana Pembiayaan Desa'!F65</f>
        <v>39717600</v>
      </c>
      <c r="E23" s="91">
        <f>D23</f>
        <v>39717600</v>
      </c>
      <c r="F23" s="91"/>
      <c r="G23" s="91"/>
      <c r="H23" s="91"/>
      <c r="I23" s="91"/>
      <c r="J23" s="91"/>
      <c r="K23" s="91"/>
      <c r="L23" s="91"/>
      <c r="M23" s="91"/>
      <c r="N23" s="91"/>
    </row>
    <row r="24" spans="1:14" ht="30" x14ac:dyDescent="0.25">
      <c r="A24" s="35">
        <v>19</v>
      </c>
      <c r="B24" s="4" t="s">
        <v>1102</v>
      </c>
      <c r="C24" s="117" t="str">
        <f>'Rencana Pembiayaan Desa'!C67</f>
        <v>: Penyelengggaraan Rumah Desa Sehat</v>
      </c>
      <c r="D24" s="91">
        <f>'Rencana Pembiayaan Desa'!G67</f>
        <v>6127385</v>
      </c>
      <c r="E24" s="91"/>
      <c r="F24" s="91"/>
      <c r="G24" s="91">
        <f>'Rencana Pembiayaan Desa'!G67</f>
        <v>6127385</v>
      </c>
      <c r="H24" s="91"/>
      <c r="I24" s="91"/>
      <c r="J24" s="91"/>
      <c r="K24" s="91"/>
      <c r="L24" s="91"/>
      <c r="M24" s="91"/>
      <c r="N24" s="91"/>
    </row>
    <row r="25" spans="1:14" ht="60" x14ac:dyDescent="0.25">
      <c r="A25" s="35">
        <v>20</v>
      </c>
      <c r="B25" s="4" t="s">
        <v>1102</v>
      </c>
      <c r="C25" s="117" t="str">
        <f>'Rencana Pembiayaan Desa'!C68</f>
        <v>: Pelaksanaan pemulihan penanganan pandemi Covid 19</v>
      </c>
      <c r="D25" s="91">
        <f>'Rencana Pembiayaan Desa'!E68</f>
        <v>159718000</v>
      </c>
      <c r="E25" s="91"/>
      <c r="F25" s="91">
        <f>'Rencana Pembiayaan Desa'!E68</f>
        <v>159718000</v>
      </c>
      <c r="G25" s="91"/>
      <c r="H25" s="91"/>
      <c r="I25" s="91"/>
      <c r="J25" s="91"/>
      <c r="K25" s="91"/>
      <c r="L25" s="91"/>
      <c r="M25" s="91"/>
      <c r="N25" s="91"/>
    </row>
    <row r="26" spans="1:14" x14ac:dyDescent="0.25">
      <c r="A26" s="2143" t="s">
        <v>26</v>
      </c>
      <c r="B26" s="2143"/>
      <c r="C26" s="2143"/>
      <c r="D26" s="91">
        <f>SUM(D6:D25)</f>
        <v>728722485</v>
      </c>
      <c r="E26" s="91">
        <f>SUM(E6:E25)</f>
        <v>378215600</v>
      </c>
      <c r="F26" s="91">
        <f>SUM(F6:F25)</f>
        <v>328167000</v>
      </c>
      <c r="G26" s="91">
        <f>SUM(G6:G25)</f>
        <v>22339885</v>
      </c>
      <c r="H26" s="91"/>
      <c r="I26" s="91"/>
      <c r="J26" s="91"/>
      <c r="K26" s="91"/>
      <c r="L26" s="91"/>
      <c r="M26" s="91"/>
      <c r="N26" s="91"/>
    </row>
  </sheetData>
  <mergeCells count="9">
    <mergeCell ref="A2:N2"/>
    <mergeCell ref="A1:N1"/>
    <mergeCell ref="A26:C26"/>
    <mergeCell ref="A4:A5"/>
    <mergeCell ref="B4:B5"/>
    <mergeCell ref="C4:C5"/>
    <mergeCell ref="D4:D5"/>
    <mergeCell ref="E4:M4"/>
    <mergeCell ref="N4:N5"/>
  </mergeCells>
  <pageMargins left="0.7" right="1.2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78"/>
  <sheetViews>
    <sheetView tabSelected="1" zoomScaleNormal="100" workbookViewId="0">
      <pane ySplit="1200" topLeftCell="A534" activePane="bottomLeft"/>
      <selection activeCell="K2" sqref="K2"/>
      <selection pane="bottomLeft" activeCell="G519" sqref="G519"/>
    </sheetView>
  </sheetViews>
  <sheetFormatPr defaultColWidth="8.7109375" defaultRowHeight="15" x14ac:dyDescent="0.25"/>
  <cols>
    <col min="1" max="1" width="13.5703125" customWidth="1"/>
    <col min="2" max="2" width="28.7109375" customWidth="1"/>
    <col min="3" max="3" width="6.28515625" customWidth="1"/>
    <col min="4" max="4" width="6.42578125" customWidth="1"/>
    <col min="5" max="5" width="12" customWidth="1"/>
    <col min="6" max="6" width="16.7109375" customWidth="1"/>
    <col min="7" max="7" width="6" customWidth="1"/>
    <col min="8" max="8" width="13.28515625" bestFit="1" customWidth="1"/>
    <col min="10" max="10" width="15.28515625" bestFit="1" customWidth="1"/>
    <col min="11" max="11" width="17" customWidth="1"/>
    <col min="12" max="12" width="17.140625" customWidth="1"/>
    <col min="13" max="13" width="15.140625" customWidth="1"/>
    <col min="14" max="14" width="20.140625" customWidth="1"/>
    <col min="15" max="15" width="15.42578125" customWidth="1"/>
    <col min="16" max="16" width="11.85546875" customWidth="1"/>
    <col min="17" max="17" width="14.140625" customWidth="1"/>
    <col min="18" max="18" width="17.5703125" customWidth="1"/>
    <col min="19" max="19" width="19.7109375" customWidth="1"/>
    <col min="20" max="20" width="15.140625" customWidth="1"/>
    <col min="21" max="21" width="18.28515625" customWidth="1"/>
    <col min="22" max="22" width="14.28515625" bestFit="1" customWidth="1"/>
    <col min="23" max="23" width="15.140625" customWidth="1"/>
    <col min="24" max="25" width="11.85546875" customWidth="1"/>
    <col min="26" max="26" width="14.28515625" bestFit="1" customWidth="1"/>
  </cols>
  <sheetData>
    <row r="1" spans="1:26" x14ac:dyDescent="0.25">
      <c r="A1" s="1910" t="s">
        <v>0</v>
      </c>
      <c r="B1" s="1910"/>
      <c r="C1" s="1910"/>
      <c r="D1" s="1910"/>
      <c r="E1" s="1910"/>
      <c r="F1" s="1910"/>
      <c r="G1" s="1910"/>
      <c r="J1" s="129" t="s">
        <v>1711</v>
      </c>
      <c r="K1" s="129" t="s">
        <v>1409</v>
      </c>
      <c r="L1" s="129" t="s">
        <v>1845</v>
      </c>
      <c r="M1" s="129" t="s">
        <v>2565</v>
      </c>
      <c r="N1" s="129" t="s">
        <v>1605</v>
      </c>
      <c r="O1" s="129" t="s">
        <v>2566</v>
      </c>
      <c r="P1" s="129" t="s">
        <v>2567</v>
      </c>
      <c r="Q1" s="129" t="s">
        <v>1417</v>
      </c>
      <c r="R1" s="129" t="s">
        <v>2568</v>
      </c>
      <c r="S1" s="129" t="s">
        <v>2569</v>
      </c>
      <c r="T1" s="129" t="s">
        <v>2570</v>
      </c>
      <c r="U1" s="129" t="s">
        <v>2571</v>
      </c>
      <c r="V1" s="129" t="s">
        <v>2572</v>
      </c>
      <c r="W1" s="129" t="s">
        <v>2573</v>
      </c>
      <c r="X1" s="129" t="s">
        <v>2574</v>
      </c>
      <c r="Y1" s="129" t="s">
        <v>2575</v>
      </c>
      <c r="Z1" s="129" t="s">
        <v>2597</v>
      </c>
    </row>
    <row r="2" spans="1:26" x14ac:dyDescent="0.25">
      <c r="A2" s="1910" t="s">
        <v>1</v>
      </c>
      <c r="B2" s="1910"/>
      <c r="C2" s="1910"/>
      <c r="D2" s="1910"/>
      <c r="E2" s="1910"/>
      <c r="F2" s="1910"/>
      <c r="G2" s="1910"/>
      <c r="J2" s="83">
        <f t="shared" ref="J2:Z2" si="0">SUM(J3:J1575)</f>
        <v>0</v>
      </c>
      <c r="K2" s="83">
        <f t="shared" si="0"/>
        <v>337368600</v>
      </c>
      <c r="L2" s="83">
        <f t="shared" si="0"/>
        <v>117828500</v>
      </c>
      <c r="M2" s="83">
        <f t="shared" si="0"/>
        <v>24333569</v>
      </c>
      <c r="N2" s="83">
        <f t="shared" si="0"/>
        <v>2450000000</v>
      </c>
      <c r="O2" s="83">
        <f t="shared" si="0"/>
        <v>0</v>
      </c>
      <c r="P2" s="83">
        <f t="shared" si="0"/>
        <v>1220000</v>
      </c>
      <c r="Q2" s="83">
        <f t="shared" si="0"/>
        <v>6910000</v>
      </c>
      <c r="R2" s="83">
        <f t="shared" si="0"/>
        <v>0</v>
      </c>
      <c r="S2" s="83">
        <f t="shared" si="0"/>
        <v>0</v>
      </c>
      <c r="T2" s="83">
        <f t="shared" si="0"/>
        <v>414045000</v>
      </c>
      <c r="U2" s="83">
        <f t="shared" si="0"/>
        <v>133008000</v>
      </c>
      <c r="V2" s="83">
        <f t="shared" si="0"/>
        <v>6488000</v>
      </c>
      <c r="W2" s="83">
        <f t="shared" si="0"/>
        <v>0</v>
      </c>
      <c r="X2" s="83">
        <f t="shared" si="0"/>
        <v>0</v>
      </c>
      <c r="Y2" s="83">
        <f t="shared" si="0"/>
        <v>0</v>
      </c>
      <c r="Z2" s="83">
        <f t="shared" si="0"/>
        <v>45000000</v>
      </c>
    </row>
    <row r="3" spans="1:26" x14ac:dyDescent="0.25">
      <c r="A3" s="1910" t="s">
        <v>1769</v>
      </c>
      <c r="B3" s="1910"/>
      <c r="C3" s="1910"/>
      <c r="D3" s="1910"/>
      <c r="E3" s="1910"/>
      <c r="F3" s="1910"/>
      <c r="G3" s="1910"/>
    </row>
    <row r="4" spans="1:26" x14ac:dyDescent="0.25">
      <c r="A4" s="184"/>
      <c r="B4" s="581"/>
      <c r="C4" s="184"/>
      <c r="D4" s="184"/>
      <c r="E4" s="184"/>
      <c r="F4" s="184"/>
      <c r="G4" s="184"/>
    </row>
    <row r="5" spans="1:26" x14ac:dyDescent="0.25">
      <c r="A5" s="263" t="s">
        <v>261</v>
      </c>
      <c r="B5" s="265" t="s">
        <v>911</v>
      </c>
      <c r="C5" s="263"/>
      <c r="D5" s="263"/>
      <c r="E5" s="410"/>
      <c r="F5" s="410"/>
      <c r="G5" s="223"/>
    </row>
    <row r="6" spans="1:26" ht="25.5" x14ac:dyDescent="0.25">
      <c r="A6" s="263" t="s">
        <v>262</v>
      </c>
      <c r="B6" s="706" t="s">
        <v>912</v>
      </c>
      <c r="C6" s="263"/>
      <c r="D6" s="263"/>
      <c r="E6" s="190" t="s">
        <v>6</v>
      </c>
      <c r="F6" s="190" t="s">
        <v>63</v>
      </c>
      <c r="G6" s="223"/>
    </row>
    <row r="7" spans="1:26" ht="51" x14ac:dyDescent="0.25">
      <c r="A7" s="265" t="s">
        <v>263</v>
      </c>
      <c r="B7" s="265" t="s">
        <v>913</v>
      </c>
      <c r="C7" s="265"/>
      <c r="D7" s="265"/>
      <c r="E7" s="558" t="s">
        <v>515</v>
      </c>
      <c r="F7" s="558"/>
      <c r="G7" s="223"/>
    </row>
    <row r="8" spans="1:26" x14ac:dyDescent="0.25">
      <c r="A8" s="226" t="s">
        <v>60</v>
      </c>
      <c r="B8" s="266" t="s">
        <v>61</v>
      </c>
      <c r="C8" s="226"/>
      <c r="D8" s="188"/>
      <c r="E8" s="188"/>
      <c r="F8" s="188"/>
      <c r="G8" s="223"/>
    </row>
    <row r="9" spans="1:26" x14ac:dyDescent="0.25">
      <c r="A9" s="226" t="s">
        <v>62</v>
      </c>
      <c r="B9" s="266" t="s">
        <v>63</v>
      </c>
      <c r="C9" s="226"/>
      <c r="D9" s="1763"/>
      <c r="E9" s="1763"/>
      <c r="F9" s="188"/>
      <c r="G9" s="223"/>
    </row>
    <row r="10" spans="1:26" x14ac:dyDescent="0.25">
      <c r="A10" s="187"/>
      <c r="B10" s="187"/>
      <c r="C10" s="187"/>
      <c r="D10" s="187"/>
      <c r="E10" s="187"/>
      <c r="F10" s="187"/>
      <c r="G10" s="223"/>
    </row>
    <row r="11" spans="1:26" ht="24" x14ac:dyDescent="0.25">
      <c r="A11" s="388" t="s">
        <v>265</v>
      </c>
      <c r="B11" s="388" t="s">
        <v>11</v>
      </c>
      <c r="C11" s="1787" t="s">
        <v>12</v>
      </c>
      <c r="D11" s="1788"/>
      <c r="E11" s="707" t="s">
        <v>13</v>
      </c>
      <c r="F11" s="389" t="s">
        <v>14</v>
      </c>
      <c r="G11" s="37" t="s">
        <v>266</v>
      </c>
    </row>
    <row r="12" spans="1:26" x14ac:dyDescent="0.25">
      <c r="A12" s="198">
        <v>1</v>
      </c>
      <c r="B12" s="198">
        <v>2</v>
      </c>
      <c r="C12" s="1767">
        <v>3</v>
      </c>
      <c r="D12" s="1768"/>
      <c r="E12" s="269">
        <v>4</v>
      </c>
      <c r="F12" s="268">
        <v>5</v>
      </c>
      <c r="G12" s="316">
        <v>6</v>
      </c>
    </row>
    <row r="13" spans="1:26" x14ac:dyDescent="0.25">
      <c r="A13" s="708" t="s">
        <v>914</v>
      </c>
      <c r="B13" s="361" t="s">
        <v>314</v>
      </c>
      <c r="C13" s="268"/>
      <c r="D13" s="295"/>
      <c r="E13" s="709"/>
      <c r="F13" s="198"/>
      <c r="G13" s="346"/>
    </row>
    <row r="14" spans="1:26" x14ac:dyDescent="0.25">
      <c r="A14" s="708" t="s">
        <v>915</v>
      </c>
      <c r="B14" s="361" t="s">
        <v>86</v>
      </c>
      <c r="C14" s="268"/>
      <c r="D14" s="295"/>
      <c r="E14" s="709"/>
      <c r="F14" s="198"/>
      <c r="G14" s="346"/>
    </row>
    <row r="15" spans="1:26" ht="24" x14ac:dyDescent="0.25">
      <c r="A15" s="708" t="s">
        <v>916</v>
      </c>
      <c r="B15" s="710" t="s">
        <v>317</v>
      </c>
      <c r="C15" s="479"/>
      <c r="D15" s="711"/>
      <c r="E15" s="712"/>
      <c r="F15" s="713"/>
      <c r="G15" s="346"/>
    </row>
    <row r="16" spans="1:26" ht="36" x14ac:dyDescent="0.25">
      <c r="A16" s="708"/>
      <c r="B16" s="515" t="s">
        <v>2770</v>
      </c>
      <c r="C16" s="479">
        <f>35+13+3+2+1+4</f>
        <v>58</v>
      </c>
      <c r="D16" s="711" t="s">
        <v>279</v>
      </c>
      <c r="E16" s="714">
        <v>15000</v>
      </c>
      <c r="F16" s="713">
        <f>C16*E16</f>
        <v>870000</v>
      </c>
      <c r="G16" s="346"/>
    </row>
    <row r="17" spans="1:21" ht="48" x14ac:dyDescent="0.25">
      <c r="A17" s="515"/>
      <c r="B17" s="515" t="s">
        <v>2771</v>
      </c>
      <c r="C17" s="479">
        <f>35+13+3+2+1+107+4</f>
        <v>165</v>
      </c>
      <c r="D17" s="711" t="s">
        <v>279</v>
      </c>
      <c r="E17" s="714">
        <v>15000</v>
      </c>
      <c r="F17" s="713">
        <f>C17*E17</f>
        <v>2475000</v>
      </c>
      <c r="G17" s="715"/>
    </row>
    <row r="18" spans="1:21" x14ac:dyDescent="0.25">
      <c r="A18" s="708" t="s">
        <v>917</v>
      </c>
      <c r="B18" s="710" t="s">
        <v>320</v>
      </c>
      <c r="C18" s="479"/>
      <c r="D18" s="711"/>
      <c r="E18" s="714"/>
      <c r="F18" s="713"/>
      <c r="G18" s="346"/>
    </row>
    <row r="19" spans="1:21" x14ac:dyDescent="0.25">
      <c r="A19" s="716" t="s">
        <v>925</v>
      </c>
      <c r="B19" s="717" t="s">
        <v>283</v>
      </c>
      <c r="C19" s="718"/>
      <c r="D19" s="719"/>
      <c r="E19" s="720"/>
      <c r="F19" s="721"/>
      <c r="G19" s="346"/>
    </row>
    <row r="20" spans="1:21" x14ac:dyDescent="0.25">
      <c r="A20" s="716"/>
      <c r="B20" s="708" t="s">
        <v>451</v>
      </c>
      <c r="C20" s="722">
        <v>1</v>
      </c>
      <c r="D20" s="723" t="s">
        <v>92</v>
      </c>
      <c r="E20" s="721">
        <v>50000</v>
      </c>
      <c r="F20" s="721">
        <f>C20*E20</f>
        <v>50000</v>
      </c>
      <c r="G20" s="715"/>
    </row>
    <row r="21" spans="1:21" ht="24" x14ac:dyDescent="0.25">
      <c r="A21" s="716"/>
      <c r="B21" s="708" t="s">
        <v>285</v>
      </c>
      <c r="C21" s="722">
        <v>5</v>
      </c>
      <c r="D21" s="723" t="s">
        <v>165</v>
      </c>
      <c r="E21" s="721">
        <v>1000</v>
      </c>
      <c r="F21" s="721">
        <f>C21*E21</f>
        <v>5000</v>
      </c>
      <c r="G21" s="715"/>
    </row>
    <row r="22" spans="1:21" ht="24" x14ac:dyDescent="0.25">
      <c r="A22" s="716"/>
      <c r="B22" s="708" t="s">
        <v>299</v>
      </c>
      <c r="C22" s="722">
        <v>1</v>
      </c>
      <c r="D22" s="723" t="s">
        <v>300</v>
      </c>
      <c r="E22" s="721">
        <v>10000</v>
      </c>
      <c r="F22" s="721">
        <f>C22*E22</f>
        <v>10000</v>
      </c>
      <c r="G22" s="715"/>
    </row>
    <row r="23" spans="1:21" x14ac:dyDescent="0.25">
      <c r="A23" s="708" t="s">
        <v>918</v>
      </c>
      <c r="B23" s="710" t="s">
        <v>304</v>
      </c>
      <c r="C23" s="479"/>
      <c r="D23" s="711"/>
      <c r="E23" s="712"/>
      <c r="F23" s="713"/>
      <c r="G23" s="715"/>
    </row>
    <row r="24" spans="1:21" ht="24" x14ac:dyDescent="0.25">
      <c r="A24" s="708" t="s">
        <v>919</v>
      </c>
      <c r="B24" s="710" t="s">
        <v>2772</v>
      </c>
      <c r="C24" s="479">
        <v>35</v>
      </c>
      <c r="D24" s="711" t="s">
        <v>279</v>
      </c>
      <c r="E24" s="713">
        <v>100000</v>
      </c>
      <c r="F24" s="713">
        <f>C24*E24</f>
        <v>3500000</v>
      </c>
      <c r="G24" s="715"/>
    </row>
    <row r="25" spans="1:21" x14ac:dyDescent="0.25">
      <c r="A25" s="432"/>
      <c r="B25" s="213"/>
      <c r="C25" s="1791"/>
      <c r="D25" s="1793"/>
      <c r="E25" s="215"/>
      <c r="F25" s="368"/>
      <c r="G25" s="563"/>
    </row>
    <row r="26" spans="1:21" x14ac:dyDescent="0.25">
      <c r="A26" s="433"/>
      <c r="B26" s="1911" t="s">
        <v>26</v>
      </c>
      <c r="C26" s="1880"/>
      <c r="D26" s="1880"/>
      <c r="E26" s="1881"/>
      <c r="F26" s="584">
        <f>SUM(F16:F24)</f>
        <v>6910000</v>
      </c>
      <c r="G26" s="346" t="s">
        <v>1417</v>
      </c>
      <c r="K26" s="32"/>
      <c r="Q26" s="32">
        <f>F26</f>
        <v>6910000</v>
      </c>
      <c r="U26" s="32"/>
    </row>
    <row r="27" spans="1:21" x14ac:dyDescent="0.25">
      <c r="A27" s="1762" t="s">
        <v>549</v>
      </c>
      <c r="B27" s="1762"/>
      <c r="C27" s="188" t="s">
        <v>27</v>
      </c>
      <c r="D27" s="1763" t="s">
        <v>1426</v>
      </c>
      <c r="E27" s="1763"/>
      <c r="F27" s="1763"/>
      <c r="G27" s="188"/>
    </row>
    <row r="28" spans="1:21" x14ac:dyDescent="0.25">
      <c r="A28" s="1762" t="s">
        <v>28</v>
      </c>
      <c r="B28" s="1762"/>
      <c r="C28" s="188"/>
      <c r="D28" s="1764" t="s">
        <v>2835</v>
      </c>
      <c r="E28" s="1764"/>
      <c r="F28" s="1764"/>
      <c r="G28" s="188"/>
      <c r="H28" s="36"/>
    </row>
    <row r="29" spans="1:21" x14ac:dyDescent="0.25">
      <c r="A29" s="186"/>
      <c r="B29" s="187"/>
      <c r="C29" s="188"/>
      <c r="D29" s="189"/>
      <c r="E29" s="218"/>
      <c r="F29" s="218"/>
      <c r="G29" s="188"/>
    </row>
    <row r="30" spans="1:21" x14ac:dyDescent="0.25">
      <c r="A30" s="186"/>
      <c r="B30" s="187"/>
      <c r="C30" s="188"/>
      <c r="D30" s="189"/>
      <c r="E30" s="218"/>
      <c r="F30" s="218"/>
      <c r="G30" s="188"/>
    </row>
    <row r="31" spans="1:21" x14ac:dyDescent="0.25">
      <c r="A31" s="1762"/>
      <c r="B31" s="1762"/>
      <c r="C31" s="188"/>
      <c r="D31" s="189"/>
      <c r="E31" s="1762"/>
      <c r="F31" s="1762"/>
      <c r="G31" s="188"/>
    </row>
    <row r="32" spans="1:21" x14ac:dyDescent="0.25">
      <c r="A32" s="1762" t="s">
        <v>29</v>
      </c>
      <c r="B32" s="1762"/>
      <c r="C32" s="188"/>
      <c r="D32" s="1762" t="s">
        <v>2990</v>
      </c>
      <c r="E32" s="1762"/>
      <c r="F32" s="1762"/>
      <c r="G32" s="188"/>
    </row>
    <row r="34" spans="1:7" x14ac:dyDescent="0.25">
      <c r="A34" s="1910" t="s">
        <v>0</v>
      </c>
      <c r="B34" s="1910"/>
      <c r="C34" s="1910"/>
      <c r="D34" s="1910"/>
      <c r="E34" s="1910"/>
      <c r="F34" s="1910"/>
      <c r="G34" s="1910"/>
    </row>
    <row r="35" spans="1:7" x14ac:dyDescent="0.25">
      <c r="A35" s="1910" t="s">
        <v>1</v>
      </c>
      <c r="B35" s="1910"/>
      <c r="C35" s="1910"/>
      <c r="D35" s="1910"/>
      <c r="E35" s="1910"/>
      <c r="F35" s="1910"/>
      <c r="G35" s="1910"/>
    </row>
    <row r="36" spans="1:7" x14ac:dyDescent="0.25">
      <c r="A36" s="1910" t="s">
        <v>1769</v>
      </c>
      <c r="B36" s="1910"/>
      <c r="C36" s="1910"/>
      <c r="D36" s="1910"/>
      <c r="E36" s="1910"/>
      <c r="F36" s="1910"/>
      <c r="G36" s="1910"/>
    </row>
    <row r="37" spans="1:7" x14ac:dyDescent="0.25">
      <c r="A37" s="184"/>
      <c r="B37" s="184"/>
      <c r="C37" s="184"/>
      <c r="D37" s="184"/>
      <c r="E37" s="184"/>
      <c r="F37" s="184"/>
      <c r="G37" s="184"/>
    </row>
    <row r="38" spans="1:7" x14ac:dyDescent="0.25">
      <c r="A38" s="263" t="s">
        <v>261</v>
      </c>
      <c r="B38" s="263" t="s">
        <v>911</v>
      </c>
      <c r="C38" s="263"/>
      <c r="D38" s="724"/>
      <c r="E38" s="725"/>
      <c r="F38" s="725"/>
      <c r="G38" s="223"/>
    </row>
    <row r="39" spans="1:7" ht="25.5" x14ac:dyDescent="0.25">
      <c r="A39" s="263" t="s">
        <v>262</v>
      </c>
      <c r="B39" s="706" t="s">
        <v>912</v>
      </c>
      <c r="C39" s="263"/>
      <c r="D39" s="724"/>
      <c r="E39" s="190" t="s">
        <v>6</v>
      </c>
      <c r="F39" s="190" t="s">
        <v>63</v>
      </c>
      <c r="G39" s="223"/>
    </row>
    <row r="40" spans="1:7" ht="54" customHeight="1" x14ac:dyDescent="0.25">
      <c r="A40" s="265" t="s">
        <v>263</v>
      </c>
      <c r="B40" s="265" t="s">
        <v>920</v>
      </c>
      <c r="C40" s="265"/>
      <c r="D40" s="726"/>
      <c r="E40" s="558" t="s">
        <v>515</v>
      </c>
      <c r="F40" s="558" t="s">
        <v>63</v>
      </c>
      <c r="G40" s="223"/>
    </row>
    <row r="41" spans="1:7" x14ac:dyDescent="0.25">
      <c r="A41" s="727" t="s">
        <v>60</v>
      </c>
      <c r="B41" s="727" t="s">
        <v>61</v>
      </c>
      <c r="C41" s="727"/>
      <c r="D41" s="188"/>
      <c r="E41" s="188"/>
      <c r="F41" s="188"/>
      <c r="G41" s="223"/>
    </row>
    <row r="42" spans="1:7" x14ac:dyDescent="0.25">
      <c r="A42" s="727" t="s">
        <v>62</v>
      </c>
      <c r="B42" s="727" t="s">
        <v>63</v>
      </c>
      <c r="C42" s="727"/>
      <c r="D42" s="1763"/>
      <c r="E42" s="1763"/>
      <c r="F42" s="188"/>
      <c r="G42" s="223"/>
    </row>
    <row r="43" spans="1:7" x14ac:dyDescent="0.25">
      <c r="A43" s="187"/>
      <c r="B43" s="187"/>
      <c r="C43" s="187"/>
      <c r="D43" s="187"/>
      <c r="E43" s="187"/>
      <c r="F43" s="187"/>
      <c r="G43" s="223"/>
    </row>
    <row r="44" spans="1:7" ht="24" x14ac:dyDescent="0.25">
      <c r="A44" s="388" t="s">
        <v>265</v>
      </c>
      <c r="B44" s="388" t="s">
        <v>11</v>
      </c>
      <c r="C44" s="1878" t="s">
        <v>12</v>
      </c>
      <c r="D44" s="1878"/>
      <c r="E44" s="707" t="s">
        <v>13</v>
      </c>
      <c r="F44" s="389" t="s">
        <v>14</v>
      </c>
      <c r="G44" s="37" t="s">
        <v>266</v>
      </c>
    </row>
    <row r="45" spans="1:7" x14ac:dyDescent="0.25">
      <c r="A45" s="198">
        <v>1</v>
      </c>
      <c r="B45" s="198">
        <v>2</v>
      </c>
      <c r="C45" s="1767">
        <v>3</v>
      </c>
      <c r="D45" s="1768"/>
      <c r="E45" s="269">
        <v>4</v>
      </c>
      <c r="F45" s="268">
        <v>5</v>
      </c>
      <c r="G45" s="316">
        <v>6</v>
      </c>
    </row>
    <row r="46" spans="1:7" x14ac:dyDescent="0.25">
      <c r="A46" s="708" t="s">
        <v>914</v>
      </c>
      <c r="B46" s="361" t="s">
        <v>314</v>
      </c>
      <c r="C46" s="268"/>
      <c r="D46" s="295"/>
      <c r="E46" s="709"/>
      <c r="F46" s="198"/>
      <c r="G46" s="346"/>
    </row>
    <row r="47" spans="1:7" x14ac:dyDescent="0.25">
      <c r="A47" s="708" t="s">
        <v>915</v>
      </c>
      <c r="B47" s="361" t="s">
        <v>86</v>
      </c>
      <c r="C47" s="268"/>
      <c r="D47" s="295"/>
      <c r="E47" s="709"/>
      <c r="F47" s="198"/>
      <c r="G47" s="346"/>
    </row>
    <row r="48" spans="1:7" ht="24" x14ac:dyDescent="0.25">
      <c r="A48" s="708" t="s">
        <v>916</v>
      </c>
      <c r="B48" s="710" t="s">
        <v>317</v>
      </c>
      <c r="C48" s="479"/>
      <c r="D48" s="711"/>
      <c r="E48" s="712"/>
      <c r="F48" s="713"/>
      <c r="G48" s="346"/>
    </row>
    <row r="49" spans="1:21" ht="36" x14ac:dyDescent="0.25">
      <c r="A49" s="708"/>
      <c r="B49" s="515" t="s">
        <v>2774</v>
      </c>
      <c r="C49" s="479">
        <v>60</v>
      </c>
      <c r="D49" s="711" t="s">
        <v>279</v>
      </c>
      <c r="E49" s="714">
        <v>15000</v>
      </c>
      <c r="F49" s="713">
        <f>C49*E49</f>
        <v>900000</v>
      </c>
      <c r="G49" s="346"/>
    </row>
    <row r="50" spans="1:21" ht="48" x14ac:dyDescent="0.25">
      <c r="A50" s="515"/>
      <c r="B50" s="515" t="s">
        <v>2771</v>
      </c>
      <c r="C50" s="479">
        <v>165</v>
      </c>
      <c r="D50" s="711" t="s">
        <v>279</v>
      </c>
      <c r="E50" s="714">
        <v>15000</v>
      </c>
      <c r="F50" s="713">
        <f>C50*E50</f>
        <v>2475000</v>
      </c>
      <c r="G50" s="715"/>
    </row>
    <row r="51" spans="1:21" x14ac:dyDescent="0.25">
      <c r="A51" s="708" t="s">
        <v>917</v>
      </c>
      <c r="B51" s="710" t="s">
        <v>320</v>
      </c>
      <c r="C51" s="479"/>
      <c r="D51" s="711"/>
      <c r="E51" s="714"/>
      <c r="F51" s="713"/>
      <c r="G51" s="346"/>
    </row>
    <row r="52" spans="1:21" x14ac:dyDescent="0.25">
      <c r="A52" s="716" t="s">
        <v>925</v>
      </c>
      <c r="B52" s="717" t="s">
        <v>283</v>
      </c>
      <c r="C52" s="718"/>
      <c r="D52" s="719"/>
      <c r="E52" s="720"/>
      <c r="F52" s="721"/>
      <c r="G52" s="346"/>
    </row>
    <row r="53" spans="1:21" x14ac:dyDescent="0.25">
      <c r="A53" s="716"/>
      <c r="B53" s="708" t="s">
        <v>451</v>
      </c>
      <c r="C53" s="722">
        <v>1</v>
      </c>
      <c r="D53" s="723" t="s">
        <v>92</v>
      </c>
      <c r="E53" s="721">
        <v>50000</v>
      </c>
      <c r="F53" s="721">
        <f>C53*E53</f>
        <v>50000</v>
      </c>
      <c r="G53" s="715"/>
    </row>
    <row r="54" spans="1:21" ht="24" x14ac:dyDescent="0.25">
      <c r="A54" s="716"/>
      <c r="B54" s="708" t="s">
        <v>285</v>
      </c>
      <c r="C54" s="722">
        <v>5</v>
      </c>
      <c r="D54" s="723" t="s">
        <v>165</v>
      </c>
      <c r="E54" s="721">
        <v>1000</v>
      </c>
      <c r="F54" s="721">
        <f>C54*E54</f>
        <v>5000</v>
      </c>
      <c r="G54" s="715"/>
    </row>
    <row r="55" spans="1:21" ht="24" x14ac:dyDescent="0.25">
      <c r="A55" s="716"/>
      <c r="B55" s="708" t="s">
        <v>299</v>
      </c>
      <c r="C55" s="722">
        <v>1</v>
      </c>
      <c r="D55" s="723" t="s">
        <v>300</v>
      </c>
      <c r="E55" s="721">
        <v>10000</v>
      </c>
      <c r="F55" s="721">
        <f>C55*E55</f>
        <v>10000</v>
      </c>
      <c r="G55" s="715"/>
    </row>
    <row r="56" spans="1:21" x14ac:dyDescent="0.25">
      <c r="A56" s="708" t="s">
        <v>918</v>
      </c>
      <c r="B56" s="710" t="s">
        <v>304</v>
      </c>
      <c r="C56" s="479"/>
      <c r="D56" s="711"/>
      <c r="E56" s="712"/>
      <c r="F56" s="713"/>
      <c r="G56" s="715"/>
    </row>
    <row r="57" spans="1:21" ht="36" x14ac:dyDescent="0.25">
      <c r="A57" s="708" t="s">
        <v>919</v>
      </c>
      <c r="B57" s="710" t="s">
        <v>2773</v>
      </c>
      <c r="C57" s="479">
        <f>35+3+13</f>
        <v>51</v>
      </c>
      <c r="D57" s="711" t="s">
        <v>279</v>
      </c>
      <c r="E57" s="713">
        <v>100000</v>
      </c>
      <c r="F57" s="713">
        <f>C57*E57</f>
        <v>5100000</v>
      </c>
      <c r="G57" s="715"/>
    </row>
    <row r="58" spans="1:21" x14ac:dyDescent="0.25">
      <c r="A58" s="432"/>
      <c r="B58" s="213"/>
      <c r="C58" s="1791"/>
      <c r="D58" s="1793"/>
      <c r="E58" s="215"/>
      <c r="F58" s="368"/>
      <c r="G58" s="563"/>
    </row>
    <row r="59" spans="1:21" ht="45" x14ac:dyDescent="0.25">
      <c r="A59" s="433"/>
      <c r="B59" s="1911" t="s">
        <v>26</v>
      </c>
      <c r="C59" s="1880"/>
      <c r="D59" s="1880"/>
      <c r="E59" s="1881"/>
      <c r="F59" s="584">
        <f>SUM(F49:F57)</f>
        <v>8540000</v>
      </c>
      <c r="G59" s="346" t="s">
        <v>2571</v>
      </c>
      <c r="K59" s="32"/>
      <c r="U59" s="32">
        <f>F59</f>
        <v>8540000</v>
      </c>
    </row>
    <row r="60" spans="1:21" x14ac:dyDescent="0.25">
      <c r="A60" s="1762" t="s">
        <v>549</v>
      </c>
      <c r="B60" s="1762"/>
      <c r="C60" s="188" t="s">
        <v>27</v>
      </c>
      <c r="D60" s="1763" t="s">
        <v>1426</v>
      </c>
      <c r="E60" s="1763"/>
      <c r="F60" s="1763"/>
      <c r="G60" s="188"/>
    </row>
    <row r="61" spans="1:21" x14ac:dyDescent="0.25">
      <c r="A61" s="1762" t="s">
        <v>28</v>
      </c>
      <c r="B61" s="1762"/>
      <c r="C61" s="188"/>
      <c r="D61" s="1764" t="s">
        <v>2835</v>
      </c>
      <c r="E61" s="1764"/>
      <c r="F61" s="1764"/>
      <c r="G61" s="188"/>
      <c r="H61" s="36"/>
    </row>
    <row r="62" spans="1:21" x14ac:dyDescent="0.25">
      <c r="A62" s="186"/>
      <c r="B62" s="187"/>
      <c r="C62" s="188"/>
      <c r="D62" s="189"/>
      <c r="E62" s="218"/>
      <c r="F62" s="218"/>
      <c r="G62" s="188"/>
    </row>
    <row r="63" spans="1:21" x14ac:dyDescent="0.25">
      <c r="A63" s="186"/>
      <c r="B63" s="187"/>
      <c r="C63" s="188"/>
      <c r="D63" s="189"/>
      <c r="E63" s="218"/>
      <c r="F63" s="218"/>
      <c r="G63" s="188"/>
    </row>
    <row r="64" spans="1:21" x14ac:dyDescent="0.25">
      <c r="A64" s="1762"/>
      <c r="B64" s="1762"/>
      <c r="C64" s="188"/>
      <c r="D64" s="189"/>
      <c r="E64" s="1762"/>
      <c r="F64" s="1762"/>
      <c r="G64" s="188"/>
    </row>
    <row r="65" spans="1:7" x14ac:dyDescent="0.25">
      <c r="A65" s="1762" t="s">
        <v>29</v>
      </c>
      <c r="B65" s="1762"/>
      <c r="C65" s="188"/>
      <c r="D65" s="1762" t="s">
        <v>2990</v>
      </c>
      <c r="E65" s="1762"/>
      <c r="F65" s="1762"/>
      <c r="G65" s="188"/>
    </row>
    <row r="67" spans="1:7" x14ac:dyDescent="0.25">
      <c r="A67" s="1813" t="s">
        <v>0</v>
      </c>
      <c r="B67" s="1813"/>
      <c r="C67" s="1813"/>
      <c r="D67" s="1813"/>
      <c r="E67" s="1813"/>
      <c r="F67" s="1813"/>
      <c r="G67" s="1813"/>
    </row>
    <row r="68" spans="1:7" x14ac:dyDescent="0.25">
      <c r="A68" s="1813" t="s">
        <v>1</v>
      </c>
      <c r="B68" s="1813"/>
      <c r="C68" s="1813"/>
      <c r="D68" s="1813"/>
      <c r="E68" s="1813"/>
      <c r="F68" s="1813"/>
      <c r="G68" s="1813"/>
    </row>
    <row r="69" spans="1:7" x14ac:dyDescent="0.25">
      <c r="A69" s="1813" t="s">
        <v>1769</v>
      </c>
      <c r="B69" s="1813"/>
      <c r="C69" s="1813"/>
      <c r="D69" s="1813"/>
      <c r="E69" s="1813"/>
      <c r="F69" s="1813"/>
      <c r="G69" s="1813"/>
    </row>
    <row r="70" spans="1:7" x14ac:dyDescent="0.25">
      <c r="A70" s="300"/>
      <c r="B70" s="728"/>
      <c r="C70" s="300"/>
      <c r="D70" s="728"/>
      <c r="E70" s="300"/>
      <c r="F70" s="300"/>
      <c r="G70" s="728"/>
    </row>
    <row r="71" spans="1:7" ht="30" x14ac:dyDescent="0.25">
      <c r="A71" s="664" t="s">
        <v>491</v>
      </c>
      <c r="B71" s="310" t="s">
        <v>911</v>
      </c>
      <c r="C71" s="664"/>
      <c r="D71" s="729"/>
      <c r="E71" s="301"/>
      <c r="F71" s="664"/>
      <c r="G71" s="665"/>
    </row>
    <row r="72" spans="1:7" x14ac:dyDescent="0.25">
      <c r="A72" s="667" t="s">
        <v>921</v>
      </c>
      <c r="B72" s="1916" t="s">
        <v>922</v>
      </c>
      <c r="C72" s="1916"/>
      <c r="D72" s="691"/>
      <c r="E72" s="303" t="s">
        <v>6</v>
      </c>
      <c r="F72" s="303"/>
      <c r="G72" s="665"/>
    </row>
    <row r="73" spans="1:7" ht="77.25" customHeight="1" x14ac:dyDescent="0.25">
      <c r="A73" s="667" t="s">
        <v>923</v>
      </c>
      <c r="B73" s="692" t="s">
        <v>1452</v>
      </c>
      <c r="C73" s="692"/>
      <c r="D73" s="691"/>
      <c r="E73" s="666" t="s">
        <v>9</v>
      </c>
      <c r="F73" s="666"/>
      <c r="G73" s="665"/>
    </row>
    <row r="74" spans="1:7" x14ac:dyDescent="0.25">
      <c r="A74" s="301" t="s">
        <v>60</v>
      </c>
      <c r="B74" s="310" t="s">
        <v>61</v>
      </c>
      <c r="C74" s="301"/>
      <c r="D74" s="310"/>
      <c r="E74" s="301"/>
      <c r="F74" s="301"/>
      <c r="G74" s="665"/>
    </row>
    <row r="75" spans="1:7" x14ac:dyDescent="0.25">
      <c r="A75" s="301" t="s">
        <v>62</v>
      </c>
      <c r="B75" s="310" t="s">
        <v>63</v>
      </c>
      <c r="C75" s="301"/>
      <c r="D75" s="1814"/>
      <c r="E75" s="1814"/>
      <c r="F75" s="301"/>
      <c r="G75" s="665"/>
    </row>
    <row r="76" spans="1:7" ht="45" x14ac:dyDescent="0.25">
      <c r="A76" s="311" t="s">
        <v>265</v>
      </c>
      <c r="B76" s="311" t="s">
        <v>11</v>
      </c>
      <c r="C76" s="1815" t="s">
        <v>12</v>
      </c>
      <c r="D76" s="1815"/>
      <c r="E76" s="312" t="s">
        <v>13</v>
      </c>
      <c r="F76" s="311" t="s">
        <v>14</v>
      </c>
      <c r="G76" s="669" t="s">
        <v>266</v>
      </c>
    </row>
    <row r="77" spans="1:7" x14ac:dyDescent="0.25">
      <c r="A77" s="323">
        <v>1</v>
      </c>
      <c r="B77" s="311">
        <v>2</v>
      </c>
      <c r="C77" s="1838">
        <v>3</v>
      </c>
      <c r="D77" s="1839"/>
      <c r="E77" s="670">
        <v>4</v>
      </c>
      <c r="F77" s="321">
        <v>5</v>
      </c>
      <c r="G77" s="671">
        <v>10</v>
      </c>
    </row>
    <row r="78" spans="1:7" s="5" customFormat="1" x14ac:dyDescent="0.25">
      <c r="A78" s="730" t="s">
        <v>914</v>
      </c>
      <c r="B78" s="676" t="s">
        <v>495</v>
      </c>
      <c r="C78" s="731"/>
      <c r="D78" s="732"/>
      <c r="E78" s="733"/>
      <c r="F78" s="734"/>
      <c r="G78" s="346"/>
    </row>
    <row r="79" spans="1:7" s="5" customFormat="1" ht="28.5" x14ac:dyDescent="0.25">
      <c r="A79" s="730" t="s">
        <v>915</v>
      </c>
      <c r="B79" s="676" t="s">
        <v>86</v>
      </c>
      <c r="C79" s="731"/>
      <c r="D79" s="732"/>
      <c r="E79" s="733"/>
      <c r="F79" s="734"/>
      <c r="G79" s="346"/>
    </row>
    <row r="80" spans="1:7" s="5" customFormat="1" x14ac:dyDescent="0.25">
      <c r="A80" s="730" t="s">
        <v>1453</v>
      </c>
      <c r="B80" s="676" t="s">
        <v>879</v>
      </c>
      <c r="C80" s="731"/>
      <c r="D80" s="732"/>
      <c r="E80" s="733"/>
      <c r="F80" s="734"/>
      <c r="G80" s="346"/>
    </row>
    <row r="81" spans="1:20" s="5" customFormat="1" x14ac:dyDescent="0.25">
      <c r="A81" s="730"/>
      <c r="B81" s="735" t="s">
        <v>582</v>
      </c>
      <c r="C81" s="313">
        <v>1</v>
      </c>
      <c r="D81" s="319" t="s">
        <v>92</v>
      </c>
      <c r="E81" s="733">
        <v>200000</v>
      </c>
      <c r="F81" s="736">
        <f>C81*E81</f>
        <v>200000</v>
      </c>
      <c r="G81" s="346" t="s">
        <v>1409</v>
      </c>
      <c r="K81" s="1243">
        <f>F81</f>
        <v>200000</v>
      </c>
    </row>
    <row r="82" spans="1:20" s="5" customFormat="1" x14ac:dyDescent="0.25">
      <c r="A82" s="730"/>
      <c r="B82" s="735" t="s">
        <v>2594</v>
      </c>
      <c r="C82" s="313">
        <v>1</v>
      </c>
      <c r="D82" s="319" t="s">
        <v>92</v>
      </c>
      <c r="E82" s="733">
        <v>50000</v>
      </c>
      <c r="F82" s="736">
        <f>C82*E82</f>
        <v>50000</v>
      </c>
      <c r="G82" s="346" t="s">
        <v>1409</v>
      </c>
      <c r="K82" s="1243">
        <f>F82</f>
        <v>50000</v>
      </c>
    </row>
    <row r="83" spans="1:20" s="5" customFormat="1" ht="57" x14ac:dyDescent="0.25">
      <c r="A83" s="730" t="s">
        <v>1454</v>
      </c>
      <c r="B83" s="676" t="s">
        <v>928</v>
      </c>
      <c r="C83" s="313"/>
      <c r="D83" s="319"/>
      <c r="E83" s="736"/>
      <c r="F83" s="736"/>
      <c r="G83" s="332"/>
    </row>
    <row r="84" spans="1:20" s="5" customFormat="1" ht="30" x14ac:dyDescent="0.25">
      <c r="A84" s="318"/>
      <c r="B84" s="735" t="s">
        <v>929</v>
      </c>
      <c r="C84" s="313">
        <v>1</v>
      </c>
      <c r="D84" s="319" t="s">
        <v>930</v>
      </c>
      <c r="E84" s="736">
        <v>9000000</v>
      </c>
      <c r="F84" s="736">
        <f>C84*E84</f>
        <v>9000000</v>
      </c>
      <c r="G84" s="346" t="s">
        <v>1409</v>
      </c>
      <c r="K84" s="1243">
        <f>F84</f>
        <v>9000000</v>
      </c>
    </row>
    <row r="85" spans="1:20" s="5" customFormat="1" ht="30" x14ac:dyDescent="0.25">
      <c r="A85" s="318"/>
      <c r="B85" s="735" t="s">
        <v>931</v>
      </c>
      <c r="C85" s="313">
        <v>2</v>
      </c>
      <c r="D85" s="319" t="s">
        <v>932</v>
      </c>
      <c r="E85" s="736">
        <v>3000000</v>
      </c>
      <c r="F85" s="736">
        <f>C85*E85</f>
        <v>6000000</v>
      </c>
      <c r="G85" s="346" t="s">
        <v>1409</v>
      </c>
      <c r="K85" s="1243">
        <f>F85</f>
        <v>6000000</v>
      </c>
    </row>
    <row r="86" spans="1:20" s="5" customFormat="1" x14ac:dyDescent="0.25">
      <c r="A86" s="730" t="s">
        <v>917</v>
      </c>
      <c r="B86" s="676" t="s">
        <v>837</v>
      </c>
      <c r="C86" s="313"/>
      <c r="D86" s="319"/>
      <c r="E86" s="736"/>
      <c r="F86" s="736"/>
      <c r="G86" s="332"/>
    </row>
    <row r="87" spans="1:20" s="5" customFormat="1" ht="30" x14ac:dyDescent="0.25">
      <c r="A87" s="730"/>
      <c r="B87" s="735" t="s">
        <v>2593</v>
      </c>
      <c r="C87" s="313">
        <v>35</v>
      </c>
      <c r="D87" s="319" t="s">
        <v>92</v>
      </c>
      <c r="E87" s="736">
        <v>800000</v>
      </c>
      <c r="F87" s="736">
        <f>E87*C87</f>
        <v>28000000</v>
      </c>
      <c r="G87" s="346" t="s">
        <v>2570</v>
      </c>
      <c r="K87" s="1243"/>
      <c r="T87" s="1243">
        <f>F87</f>
        <v>28000000</v>
      </c>
    </row>
    <row r="88" spans="1:20" s="5" customFormat="1" ht="30" x14ac:dyDescent="0.25">
      <c r="A88" s="730"/>
      <c r="B88" s="735" t="s">
        <v>2595</v>
      </c>
      <c r="C88" s="313">
        <v>35</v>
      </c>
      <c r="D88" s="319" t="s">
        <v>92</v>
      </c>
      <c r="E88" s="736">
        <v>200000</v>
      </c>
      <c r="F88" s="736">
        <f>E88*C88</f>
        <v>7000000</v>
      </c>
      <c r="G88" s="346" t="s">
        <v>2570</v>
      </c>
      <c r="K88" s="1243"/>
      <c r="T88" s="1243">
        <f>F88</f>
        <v>7000000</v>
      </c>
    </row>
    <row r="89" spans="1:20" s="5" customFormat="1" ht="30" x14ac:dyDescent="0.25">
      <c r="A89" s="730"/>
      <c r="B89" s="735" t="s">
        <v>1583</v>
      </c>
      <c r="C89" s="313">
        <v>4</v>
      </c>
      <c r="D89" s="319" t="s">
        <v>92</v>
      </c>
      <c r="E89" s="736">
        <v>750000</v>
      </c>
      <c r="F89" s="736">
        <f>E89*C89</f>
        <v>3000000</v>
      </c>
      <c r="G89" s="346" t="s">
        <v>2570</v>
      </c>
      <c r="K89" s="1243"/>
      <c r="T89" s="1243">
        <f>F89</f>
        <v>3000000</v>
      </c>
    </row>
    <row r="90" spans="1:20" s="5" customFormat="1" x14ac:dyDescent="0.25">
      <c r="A90" s="730" t="s">
        <v>918</v>
      </c>
      <c r="B90" s="676" t="s">
        <v>304</v>
      </c>
      <c r="C90" s="313"/>
      <c r="D90" s="319"/>
      <c r="E90" s="737"/>
      <c r="F90" s="736"/>
      <c r="G90" s="346"/>
    </row>
    <row r="91" spans="1:20" s="5" customFormat="1" ht="43.5" x14ac:dyDescent="0.25">
      <c r="A91" s="332" t="s">
        <v>1455</v>
      </c>
      <c r="B91" s="355" t="s">
        <v>753</v>
      </c>
      <c r="C91" s="313"/>
      <c r="D91" s="319"/>
      <c r="E91" s="736"/>
      <c r="F91" s="736"/>
      <c r="G91" s="346"/>
    </row>
    <row r="92" spans="1:20" s="5" customFormat="1" ht="30" x14ac:dyDescent="0.25">
      <c r="A92" s="332"/>
      <c r="B92" s="332" t="s">
        <v>188</v>
      </c>
      <c r="C92" s="313">
        <v>1</v>
      </c>
      <c r="D92" s="319" t="s">
        <v>780</v>
      </c>
      <c r="E92" s="736">
        <v>300000</v>
      </c>
      <c r="F92" s="736">
        <f>C92*E92</f>
        <v>300000</v>
      </c>
      <c r="G92" s="346" t="s">
        <v>2570</v>
      </c>
      <c r="K92" s="1243"/>
      <c r="T92" s="1243">
        <f>F92</f>
        <v>300000</v>
      </c>
    </row>
    <row r="93" spans="1:20" s="5" customFormat="1" ht="30" x14ac:dyDescent="0.25">
      <c r="A93" s="332"/>
      <c r="B93" s="332" t="s">
        <v>352</v>
      </c>
      <c r="C93" s="313">
        <v>2</v>
      </c>
      <c r="D93" s="319" t="s">
        <v>780</v>
      </c>
      <c r="E93" s="736">
        <v>200000</v>
      </c>
      <c r="F93" s="736">
        <f>C93*E93</f>
        <v>400000</v>
      </c>
      <c r="G93" s="346" t="s">
        <v>2570</v>
      </c>
      <c r="K93" s="1243"/>
      <c r="T93" s="1243">
        <f>F93</f>
        <v>400000</v>
      </c>
    </row>
    <row r="94" spans="1:20" ht="28.5" x14ac:dyDescent="0.25">
      <c r="A94" s="738" t="s">
        <v>1456</v>
      </c>
      <c r="B94" s="676" t="s">
        <v>354</v>
      </c>
      <c r="C94" s="321"/>
      <c r="D94" s="322"/>
      <c r="E94" s="678"/>
      <c r="F94" s="352"/>
      <c r="G94" s="563"/>
    </row>
    <row r="95" spans="1:20" s="5" customFormat="1" ht="30" x14ac:dyDescent="0.25">
      <c r="A95" s="735"/>
      <c r="B95" s="735" t="s">
        <v>934</v>
      </c>
      <c r="C95" s="313">
        <v>2555</v>
      </c>
      <c r="D95" s="319" t="s">
        <v>419</v>
      </c>
      <c r="E95" s="737">
        <v>100000</v>
      </c>
      <c r="F95" s="736">
        <f>C95*E95</f>
        <v>255500000</v>
      </c>
      <c r="G95" s="346" t="s">
        <v>2570</v>
      </c>
      <c r="T95" s="1243">
        <f>F95</f>
        <v>255500000</v>
      </c>
    </row>
    <row r="96" spans="1:20" s="5" customFormat="1" x14ac:dyDescent="0.25">
      <c r="A96" s="735" t="s">
        <v>1457</v>
      </c>
      <c r="B96" s="355" t="s">
        <v>215</v>
      </c>
      <c r="C96" s="313"/>
      <c r="D96" s="319"/>
      <c r="E96" s="737"/>
      <c r="F96" s="736"/>
      <c r="G96" s="346"/>
    </row>
    <row r="97" spans="1:20" s="5" customFormat="1" ht="29.25" x14ac:dyDescent="0.25">
      <c r="A97" s="735" t="s">
        <v>1458</v>
      </c>
      <c r="B97" s="355" t="s">
        <v>217</v>
      </c>
      <c r="C97" s="313"/>
      <c r="D97" s="319"/>
      <c r="E97" s="739"/>
      <c r="F97" s="736"/>
      <c r="G97" s="346"/>
    </row>
    <row r="98" spans="1:20" s="5" customFormat="1" ht="30" x14ac:dyDescent="0.25">
      <c r="A98" s="735"/>
      <c r="B98" s="740" t="s">
        <v>2796</v>
      </c>
      <c r="C98" s="313">
        <v>1</v>
      </c>
      <c r="D98" s="319" t="s">
        <v>219</v>
      </c>
      <c r="E98" s="741">
        <v>2100000</v>
      </c>
      <c r="F98" s="736">
        <f>C98*E98</f>
        <v>2100000</v>
      </c>
      <c r="G98" s="346" t="s">
        <v>2570</v>
      </c>
      <c r="K98" s="1243"/>
      <c r="T98" s="1243">
        <f>F98</f>
        <v>2100000</v>
      </c>
    </row>
    <row r="99" spans="1:20" s="5" customFormat="1" ht="30" x14ac:dyDescent="0.25">
      <c r="A99" s="735"/>
      <c r="B99" s="740" t="s">
        <v>935</v>
      </c>
      <c r="C99" s="313">
        <v>1</v>
      </c>
      <c r="D99" s="319" t="s">
        <v>219</v>
      </c>
      <c r="E99" s="741">
        <v>1500000</v>
      </c>
      <c r="F99" s="736">
        <f>C99*E99</f>
        <v>1500000</v>
      </c>
      <c r="G99" s="346" t="s">
        <v>2570</v>
      </c>
      <c r="K99" s="1243"/>
      <c r="T99" s="1243">
        <f>F99</f>
        <v>1500000</v>
      </c>
    </row>
    <row r="100" spans="1:20" s="5" customFormat="1" ht="30" x14ac:dyDescent="0.25">
      <c r="A100" s="735"/>
      <c r="B100" s="740" t="s">
        <v>2795</v>
      </c>
      <c r="C100" s="313">
        <v>1</v>
      </c>
      <c r="D100" s="319" t="s">
        <v>222</v>
      </c>
      <c r="E100" s="741">
        <v>4500000</v>
      </c>
      <c r="F100" s="736">
        <f>C100*E100</f>
        <v>4500000</v>
      </c>
      <c r="G100" s="346" t="s">
        <v>2570</v>
      </c>
      <c r="K100" s="1243"/>
      <c r="T100" s="1243">
        <f>F100</f>
        <v>4500000</v>
      </c>
    </row>
    <row r="101" spans="1:20" s="5" customFormat="1" ht="30" x14ac:dyDescent="0.25">
      <c r="A101" s="735"/>
      <c r="B101" s="740" t="s">
        <v>936</v>
      </c>
      <c r="C101" s="313">
        <v>1</v>
      </c>
      <c r="D101" s="319" t="s">
        <v>221</v>
      </c>
      <c r="E101" s="741">
        <v>4000000</v>
      </c>
      <c r="F101" s="736">
        <f>C101*E101</f>
        <v>4000000</v>
      </c>
      <c r="G101" s="346" t="s">
        <v>2570</v>
      </c>
      <c r="K101" s="1243"/>
      <c r="T101" s="1243">
        <f>F101</f>
        <v>4000000</v>
      </c>
    </row>
    <row r="102" spans="1:20" x14ac:dyDescent="0.25">
      <c r="A102" s="329"/>
      <c r="B102" s="332"/>
      <c r="C102" s="345"/>
      <c r="D102" s="732"/>
      <c r="E102" s="677"/>
      <c r="F102" s="742"/>
      <c r="G102" s="346"/>
      <c r="H102" s="5"/>
      <c r="K102" s="36"/>
      <c r="T102" s="1243"/>
    </row>
    <row r="103" spans="1:20" x14ac:dyDescent="0.25">
      <c r="A103" s="331"/>
      <c r="B103" s="1894" t="s">
        <v>26</v>
      </c>
      <c r="C103" s="1894"/>
      <c r="D103" s="1894"/>
      <c r="E103" s="1894"/>
      <c r="F103" s="743">
        <f>SUM(F81:F101)</f>
        <v>321550000</v>
      </c>
      <c r="G103" s="744"/>
      <c r="H103" s="5"/>
    </row>
    <row r="104" spans="1:20" x14ac:dyDescent="0.25">
      <c r="A104" s="1762" t="s">
        <v>549</v>
      </c>
      <c r="B104" s="1762"/>
      <c r="C104" s="188" t="s">
        <v>27</v>
      </c>
      <c r="D104" s="1763" t="s">
        <v>1426</v>
      </c>
      <c r="E104" s="1763"/>
      <c r="F104" s="1763"/>
      <c r="G104" s="188"/>
    </row>
    <row r="105" spans="1:20" x14ac:dyDescent="0.25">
      <c r="A105" s="1762" t="s">
        <v>28</v>
      </c>
      <c r="B105" s="1762"/>
      <c r="C105" s="188"/>
      <c r="D105" s="1764" t="s">
        <v>2835</v>
      </c>
      <c r="E105" s="1764"/>
      <c r="F105" s="1764"/>
      <c r="G105" s="188"/>
      <c r="H105" s="36"/>
    </row>
    <row r="106" spans="1:20" x14ac:dyDescent="0.25">
      <c r="A106" s="186"/>
      <c r="B106" s="187"/>
      <c r="C106" s="188"/>
      <c r="D106" s="189"/>
      <c r="E106" s="218"/>
      <c r="F106" s="218"/>
      <c r="G106" s="188"/>
    </row>
    <row r="107" spans="1:20" x14ac:dyDescent="0.25">
      <c r="A107" s="186"/>
      <c r="B107" s="187"/>
      <c r="C107" s="188"/>
      <c r="D107" s="189"/>
      <c r="E107" s="218"/>
      <c r="F107" s="218"/>
      <c r="G107" s="188"/>
    </row>
    <row r="108" spans="1:20" x14ac:dyDescent="0.25">
      <c r="A108" s="1762"/>
      <c r="B108" s="1762"/>
      <c r="C108" s="188"/>
      <c r="D108" s="189"/>
      <c r="E108" s="1762"/>
      <c r="F108" s="1762"/>
      <c r="G108" s="188"/>
    </row>
    <row r="109" spans="1:20" x14ac:dyDescent="0.25">
      <c r="A109" s="1762" t="s">
        <v>29</v>
      </c>
      <c r="B109" s="1762"/>
      <c r="C109" s="188"/>
      <c r="D109" s="1762" t="s">
        <v>2990</v>
      </c>
      <c r="E109" s="1762"/>
      <c r="F109" s="1762"/>
      <c r="G109" s="188"/>
    </row>
    <row r="110" spans="1:20" x14ac:dyDescent="0.25">
      <c r="A110" s="1910" t="s">
        <v>0</v>
      </c>
      <c r="B110" s="1910"/>
      <c r="C110" s="1910"/>
      <c r="D110" s="1910"/>
      <c r="E110" s="1910"/>
      <c r="F110" s="1910"/>
      <c r="G110" s="1910"/>
    </row>
    <row r="111" spans="1:20" x14ac:dyDescent="0.25">
      <c r="A111" s="1910" t="s">
        <v>1</v>
      </c>
      <c r="B111" s="1910"/>
      <c r="C111" s="1910"/>
      <c r="D111" s="1910"/>
      <c r="E111" s="1910"/>
      <c r="F111" s="1910"/>
      <c r="G111" s="1910"/>
    </row>
    <row r="112" spans="1:20" x14ac:dyDescent="0.25">
      <c r="A112" s="1910" t="s">
        <v>1769</v>
      </c>
      <c r="B112" s="1910"/>
      <c r="C112" s="1910"/>
      <c r="D112" s="1910"/>
      <c r="E112" s="1910"/>
      <c r="F112" s="1910"/>
      <c r="G112" s="1910"/>
    </row>
    <row r="113" spans="1:7" x14ac:dyDescent="0.25">
      <c r="A113" s="184"/>
      <c r="B113" s="184"/>
      <c r="C113" s="184"/>
      <c r="D113" s="184"/>
      <c r="E113" s="184"/>
      <c r="F113" s="184"/>
      <c r="G113" s="184"/>
    </row>
    <row r="114" spans="1:7" x14ac:dyDescent="0.25">
      <c r="A114" s="218" t="s">
        <v>491</v>
      </c>
      <c r="B114" s="188" t="s">
        <v>911</v>
      </c>
      <c r="C114" s="218"/>
      <c r="D114" s="218"/>
      <c r="E114" s="190" t="s">
        <v>6</v>
      </c>
      <c r="F114" s="190" t="s">
        <v>63</v>
      </c>
    </row>
    <row r="115" spans="1:7" x14ac:dyDescent="0.25">
      <c r="A115" s="220" t="s">
        <v>921</v>
      </c>
      <c r="B115" s="187" t="s">
        <v>922</v>
      </c>
      <c r="C115" s="187"/>
      <c r="D115" s="220"/>
      <c r="E115" s="558" t="s">
        <v>515</v>
      </c>
      <c r="F115" s="558" t="s">
        <v>63</v>
      </c>
    </row>
    <row r="116" spans="1:7" ht="36" x14ac:dyDescent="0.25">
      <c r="A116" s="220" t="s">
        <v>923</v>
      </c>
      <c r="B116" s="254" t="s">
        <v>1540</v>
      </c>
      <c r="C116" s="254"/>
      <c r="D116" s="220"/>
      <c r="E116" s="190"/>
      <c r="F116" s="190"/>
    </row>
    <row r="117" spans="1:7" x14ac:dyDescent="0.25">
      <c r="A117" s="188" t="s">
        <v>60</v>
      </c>
      <c r="B117" s="188" t="s">
        <v>61</v>
      </c>
      <c r="C117" s="188"/>
      <c r="D117" s="188"/>
      <c r="E117" s="558"/>
      <c r="F117" s="558"/>
    </row>
    <row r="118" spans="1:7" x14ac:dyDescent="0.25">
      <c r="A118" s="188" t="s">
        <v>62</v>
      </c>
      <c r="B118" s="188" t="s">
        <v>461</v>
      </c>
      <c r="C118" s="188"/>
      <c r="D118" s="1763"/>
      <c r="E118" s="1763"/>
      <c r="F118" s="188"/>
    </row>
    <row r="119" spans="1:7" x14ac:dyDescent="0.25">
      <c r="A119" s="187"/>
      <c r="B119" s="187"/>
      <c r="C119" s="187"/>
      <c r="D119" s="187"/>
      <c r="E119" s="187"/>
      <c r="F119" s="187"/>
    </row>
    <row r="120" spans="1:7" ht="24" x14ac:dyDescent="0.25">
      <c r="A120" s="388" t="s">
        <v>265</v>
      </c>
      <c r="B120" s="388" t="s">
        <v>11</v>
      </c>
      <c r="C120" s="1878" t="s">
        <v>12</v>
      </c>
      <c r="D120" s="1878"/>
      <c r="E120" s="707" t="s">
        <v>13</v>
      </c>
      <c r="F120" s="389" t="s">
        <v>14</v>
      </c>
      <c r="G120" s="745" t="s">
        <v>266</v>
      </c>
    </row>
    <row r="121" spans="1:7" x14ac:dyDescent="0.25">
      <c r="A121" s="198">
        <v>1</v>
      </c>
      <c r="B121" s="198">
        <v>2</v>
      </c>
      <c r="C121" s="1767">
        <v>3</v>
      </c>
      <c r="D121" s="1768"/>
      <c r="E121" s="269">
        <v>4</v>
      </c>
      <c r="F121" s="268">
        <v>5</v>
      </c>
      <c r="G121" s="35">
        <v>6</v>
      </c>
    </row>
    <row r="122" spans="1:7" x14ac:dyDescent="0.25">
      <c r="A122" s="212" t="s">
        <v>1541</v>
      </c>
      <c r="B122" s="436" t="s">
        <v>495</v>
      </c>
      <c r="C122" s="243"/>
      <c r="D122" s="407"/>
      <c r="E122" s="230"/>
      <c r="F122" s="449"/>
      <c r="G122" s="1"/>
    </row>
    <row r="123" spans="1:7" x14ac:dyDescent="0.25">
      <c r="A123" s="212" t="s">
        <v>1542</v>
      </c>
      <c r="B123" s="436" t="s">
        <v>86</v>
      </c>
      <c r="C123" s="243"/>
      <c r="D123" s="407"/>
      <c r="E123" s="230"/>
      <c r="F123" s="449"/>
      <c r="G123" s="1"/>
    </row>
    <row r="124" spans="1:7" ht="24.75" x14ac:dyDescent="0.25">
      <c r="A124" s="212" t="s">
        <v>1543</v>
      </c>
      <c r="B124" s="436" t="s">
        <v>317</v>
      </c>
      <c r="C124" s="214"/>
      <c r="D124" s="407"/>
      <c r="E124" s="215"/>
      <c r="F124" s="449"/>
      <c r="G124" s="1"/>
    </row>
    <row r="125" spans="1:7" x14ac:dyDescent="0.25">
      <c r="A125" s="229"/>
      <c r="B125" s="213" t="s">
        <v>1544</v>
      </c>
      <c r="C125" s="214">
        <v>45</v>
      </c>
      <c r="D125" s="407" t="s">
        <v>279</v>
      </c>
      <c r="E125" s="215">
        <v>15000</v>
      </c>
      <c r="F125" s="449">
        <f>E125*C125</f>
        <v>675000</v>
      </c>
      <c r="G125" s="1"/>
    </row>
    <row r="126" spans="1:7" x14ac:dyDescent="0.25">
      <c r="A126" s="212" t="s">
        <v>2041</v>
      </c>
      <c r="B126" s="213" t="s">
        <v>1973</v>
      </c>
      <c r="C126" s="214"/>
      <c r="D126" s="407"/>
      <c r="E126" s="230"/>
      <c r="F126" s="449"/>
      <c r="G126" s="1"/>
    </row>
    <row r="127" spans="1:7" x14ac:dyDescent="0.25">
      <c r="A127" s="212"/>
      <c r="B127" s="213"/>
      <c r="C127" s="214"/>
      <c r="D127" s="407"/>
      <c r="E127" s="230"/>
      <c r="F127" s="449"/>
      <c r="G127" s="1"/>
    </row>
    <row r="128" spans="1:7" s="444" customFormat="1" ht="12" x14ac:dyDescent="0.2">
      <c r="A128" s="212"/>
      <c r="B128" s="217" t="s">
        <v>1991</v>
      </c>
      <c r="C128" s="214">
        <v>35</v>
      </c>
      <c r="D128" s="244" t="s">
        <v>95</v>
      </c>
      <c r="E128" s="655">
        <v>188000</v>
      </c>
      <c r="F128" s="449">
        <f>E128*C128</f>
        <v>6580000</v>
      </c>
      <c r="G128" s="213"/>
    </row>
    <row r="129" spans="1:21" s="444" customFormat="1" ht="12" x14ac:dyDescent="0.2">
      <c r="A129" s="212"/>
      <c r="B129" s="217" t="s">
        <v>1992</v>
      </c>
      <c r="C129" s="214">
        <v>35</v>
      </c>
      <c r="D129" s="244" t="s">
        <v>95</v>
      </c>
      <c r="E129" s="655">
        <v>150000</v>
      </c>
      <c r="F129" s="449">
        <f>E129*C129</f>
        <v>5250000</v>
      </c>
      <c r="G129" s="213"/>
    </row>
    <row r="130" spans="1:21" s="444" customFormat="1" ht="12" x14ac:dyDescent="0.2">
      <c r="A130" s="212"/>
      <c r="B130" s="217" t="s">
        <v>819</v>
      </c>
      <c r="C130" s="214">
        <v>35</v>
      </c>
      <c r="D130" s="244" t="s">
        <v>95</v>
      </c>
      <c r="E130" s="655">
        <v>150000</v>
      </c>
      <c r="F130" s="449">
        <f>E130*C130</f>
        <v>5250000</v>
      </c>
      <c r="G130" s="213"/>
    </row>
    <row r="131" spans="1:21" s="444" customFormat="1" ht="12" x14ac:dyDescent="0.2">
      <c r="A131" s="212"/>
      <c r="B131" s="217" t="s">
        <v>1993</v>
      </c>
      <c r="C131" s="214">
        <v>35</v>
      </c>
      <c r="D131" s="244" t="s">
        <v>95</v>
      </c>
      <c r="E131" s="655">
        <v>161000</v>
      </c>
      <c r="F131" s="449">
        <f>E131*C131</f>
        <v>5635000</v>
      </c>
      <c r="G131" s="213"/>
    </row>
    <row r="132" spans="1:21" ht="24.75" x14ac:dyDescent="0.25">
      <c r="A132" s="212" t="s">
        <v>1545</v>
      </c>
      <c r="B132" s="436" t="s">
        <v>337</v>
      </c>
      <c r="C132" s="214"/>
      <c r="D132" s="407"/>
      <c r="E132" s="215"/>
      <c r="F132" s="449"/>
      <c r="G132" s="1"/>
    </row>
    <row r="133" spans="1:21" x14ac:dyDescent="0.25">
      <c r="A133" s="229"/>
      <c r="B133" s="213" t="s">
        <v>338</v>
      </c>
      <c r="C133" s="214">
        <v>1</v>
      </c>
      <c r="D133" s="407" t="s">
        <v>95</v>
      </c>
      <c r="E133" s="215">
        <v>90000</v>
      </c>
      <c r="F133" s="449">
        <f>E133*C133</f>
        <v>90000</v>
      </c>
      <c r="G133" s="1"/>
    </row>
    <row r="134" spans="1:21" x14ac:dyDescent="0.25">
      <c r="A134" s="212" t="s">
        <v>1546</v>
      </c>
      <c r="B134" s="436" t="s">
        <v>283</v>
      </c>
      <c r="C134" s="214"/>
      <c r="D134" s="407"/>
      <c r="E134" s="215"/>
      <c r="F134" s="449"/>
      <c r="G134" s="1"/>
    </row>
    <row r="135" spans="1:21" x14ac:dyDescent="0.25">
      <c r="A135" s="229"/>
      <c r="B135" s="213" t="s">
        <v>451</v>
      </c>
      <c r="C135" s="214">
        <v>1</v>
      </c>
      <c r="D135" s="496" t="s">
        <v>95</v>
      </c>
      <c r="E135" s="215">
        <v>50000</v>
      </c>
      <c r="F135" s="449">
        <f>E135*C135</f>
        <v>50000</v>
      </c>
      <c r="G135" s="1"/>
    </row>
    <row r="136" spans="1:21" x14ac:dyDescent="0.25">
      <c r="A136" s="212" t="s">
        <v>1547</v>
      </c>
      <c r="B136" s="436" t="s">
        <v>304</v>
      </c>
      <c r="C136" s="214"/>
      <c r="D136" s="407"/>
      <c r="E136" s="230"/>
      <c r="F136" s="449"/>
      <c r="G136" s="1"/>
    </row>
    <row r="137" spans="1:21" ht="24" x14ac:dyDescent="0.25">
      <c r="A137" s="212" t="s">
        <v>1548</v>
      </c>
      <c r="B137" s="746" t="s">
        <v>439</v>
      </c>
      <c r="C137" s="372"/>
      <c r="D137" s="496"/>
      <c r="E137" s="442"/>
      <c r="F137" s="747"/>
      <c r="G137" s="4"/>
    </row>
    <row r="138" spans="1:21" x14ac:dyDescent="0.25">
      <c r="A138" s="212"/>
      <c r="B138" s="213" t="s">
        <v>2042</v>
      </c>
      <c r="C138" s="214">
        <v>2</v>
      </c>
      <c r="D138" s="407" t="s">
        <v>419</v>
      </c>
      <c r="E138" s="230">
        <v>300000</v>
      </c>
      <c r="F138" s="449">
        <f>E138*C138</f>
        <v>600000</v>
      </c>
      <c r="G138" s="1"/>
    </row>
    <row r="139" spans="1:21" s="444" customFormat="1" ht="24" x14ac:dyDescent="0.2">
      <c r="A139" s="212"/>
      <c r="B139" s="238" t="s">
        <v>2930</v>
      </c>
      <c r="C139" s="205">
        <v>45</v>
      </c>
      <c r="D139" s="206" t="s">
        <v>419</v>
      </c>
      <c r="E139" s="631">
        <v>100000</v>
      </c>
      <c r="F139" s="631">
        <f>E139*C139</f>
        <v>4500000</v>
      </c>
      <c r="G139" s="213"/>
      <c r="H139" s="458"/>
      <c r="L139" s="637"/>
      <c r="T139" s="637"/>
      <c r="U139" s="637"/>
    </row>
    <row r="140" spans="1:21" x14ac:dyDescent="0.25">
      <c r="A140" s="212"/>
      <c r="B140" s="746"/>
      <c r="C140" s="372"/>
      <c r="D140" s="496"/>
      <c r="E140" s="442"/>
      <c r="F140" s="747"/>
      <c r="G140" s="4"/>
    </row>
    <row r="141" spans="1:21" ht="30" x14ac:dyDescent="0.25">
      <c r="A141" s="217"/>
      <c r="B141" s="1915" t="s">
        <v>26</v>
      </c>
      <c r="C141" s="1915"/>
      <c r="D141" s="1915"/>
      <c r="E141" s="1915"/>
      <c r="F141" s="748">
        <f>SUM(F124:F140)</f>
        <v>28630000</v>
      </c>
      <c r="G141" s="4" t="s">
        <v>2570</v>
      </c>
      <c r="K141" s="32"/>
      <c r="T141" s="32">
        <f>F141</f>
        <v>28630000</v>
      </c>
    </row>
    <row r="142" spans="1:21" x14ac:dyDescent="0.25">
      <c r="A142" s="1762" t="s">
        <v>549</v>
      </c>
      <c r="B142" s="1762"/>
      <c r="C142" s="188" t="s">
        <v>27</v>
      </c>
      <c r="D142" s="1763" t="s">
        <v>1426</v>
      </c>
      <c r="E142" s="1763"/>
      <c r="F142" s="1763"/>
      <c r="G142" s="188"/>
    </row>
    <row r="143" spans="1:21" x14ac:dyDescent="0.25">
      <c r="A143" s="1762" t="s">
        <v>28</v>
      </c>
      <c r="B143" s="1762"/>
      <c r="C143" s="188"/>
      <c r="D143" s="1764" t="s">
        <v>2835</v>
      </c>
      <c r="E143" s="1764"/>
      <c r="F143" s="1764"/>
      <c r="G143" s="188"/>
      <c r="H143" s="36"/>
    </row>
    <row r="144" spans="1:21" x14ac:dyDescent="0.25">
      <c r="A144" s="186"/>
      <c r="B144" s="187"/>
      <c r="C144" s="188"/>
      <c r="D144" s="189"/>
      <c r="E144" s="218"/>
      <c r="F144" s="218"/>
      <c r="G144" s="188"/>
    </row>
    <row r="145" spans="1:7" x14ac:dyDescent="0.25">
      <c r="A145" s="186"/>
      <c r="B145" s="187"/>
      <c r="C145" s="188"/>
      <c r="D145" s="189"/>
      <c r="E145" s="218"/>
      <c r="F145" s="218"/>
      <c r="G145" s="188"/>
    </row>
    <row r="146" spans="1:7" x14ac:dyDescent="0.25">
      <c r="A146" s="1762"/>
      <c r="B146" s="1762"/>
      <c r="C146" s="188"/>
      <c r="D146" s="189"/>
      <c r="E146" s="1762"/>
      <c r="F146" s="1762"/>
      <c r="G146" s="188"/>
    </row>
    <row r="147" spans="1:7" x14ac:dyDescent="0.25">
      <c r="A147" s="1762" t="s">
        <v>29</v>
      </c>
      <c r="B147" s="1762"/>
      <c r="C147" s="188"/>
      <c r="D147" s="1762" t="s">
        <v>2990</v>
      </c>
      <c r="E147" s="1762"/>
      <c r="F147" s="1762"/>
      <c r="G147" s="188"/>
    </row>
    <row r="148" spans="1:7" x14ac:dyDescent="0.25">
      <c r="A148" s="1912" t="s">
        <v>0</v>
      </c>
      <c r="B148" s="1912"/>
      <c r="C148" s="1912"/>
      <c r="D148" s="1912"/>
      <c r="E148" s="1912"/>
      <c r="F148" s="1912"/>
      <c r="G148" s="1912"/>
    </row>
    <row r="149" spans="1:7" x14ac:dyDescent="0.25">
      <c r="A149" s="1912" t="s">
        <v>1</v>
      </c>
      <c r="B149" s="1912"/>
      <c r="C149" s="1912"/>
      <c r="D149" s="1912"/>
      <c r="E149" s="1912"/>
      <c r="F149" s="1912"/>
      <c r="G149" s="1912"/>
    </row>
    <row r="150" spans="1:7" x14ac:dyDescent="0.25">
      <c r="A150" s="1912" t="s">
        <v>1769</v>
      </c>
      <c r="B150" s="1912"/>
      <c r="C150" s="1912"/>
      <c r="D150" s="1912"/>
      <c r="E150" s="1912"/>
      <c r="F150" s="1912"/>
      <c r="G150" s="1912"/>
    </row>
    <row r="151" spans="1:7" x14ac:dyDescent="0.25">
      <c r="A151" s="1137"/>
      <c r="B151" s="1137"/>
      <c r="C151" s="1137"/>
      <c r="D151" s="1137"/>
      <c r="E151" s="1137"/>
      <c r="F151" s="1137"/>
      <c r="G151" s="1244"/>
    </row>
    <row r="152" spans="1:7" x14ac:dyDescent="0.25">
      <c r="A152" s="1245" t="s">
        <v>491</v>
      </c>
      <c r="B152" s="1245" t="s">
        <v>911</v>
      </c>
      <c r="C152" s="1245"/>
      <c r="D152" s="1164"/>
      <c r="E152" s="1141"/>
      <c r="F152" s="1164"/>
      <c r="G152" s="1246"/>
    </row>
    <row r="153" spans="1:7" x14ac:dyDescent="0.25">
      <c r="A153" s="1247" t="s">
        <v>921</v>
      </c>
      <c r="B153" s="1248" t="s">
        <v>1015</v>
      </c>
      <c r="C153" s="1248"/>
      <c r="D153" s="1165"/>
      <c r="E153" s="1143" t="s">
        <v>6</v>
      </c>
      <c r="F153" s="1143"/>
      <c r="G153" s="1246"/>
    </row>
    <row r="154" spans="1:7" ht="103.5" customHeight="1" x14ac:dyDescent="0.25">
      <c r="A154" s="1247" t="s">
        <v>923</v>
      </c>
      <c r="B154" s="1249" t="s">
        <v>2377</v>
      </c>
      <c r="C154" s="1249"/>
      <c r="D154" s="1165"/>
      <c r="E154" s="1167" t="s">
        <v>9</v>
      </c>
      <c r="F154" s="1167"/>
      <c r="G154" s="1246"/>
    </row>
    <row r="155" spans="1:7" x14ac:dyDescent="0.25">
      <c r="A155" s="1250" t="s">
        <v>60</v>
      </c>
      <c r="B155" s="1250" t="s">
        <v>61</v>
      </c>
      <c r="C155" s="1250"/>
      <c r="D155" s="1141"/>
      <c r="E155" s="1141"/>
      <c r="F155" s="1141"/>
      <c r="G155" s="1246"/>
    </row>
    <row r="156" spans="1:7" x14ac:dyDescent="0.25">
      <c r="A156" s="1250" t="s">
        <v>62</v>
      </c>
      <c r="B156" s="1250" t="s">
        <v>461</v>
      </c>
      <c r="C156" s="1250"/>
      <c r="D156" s="1808"/>
      <c r="E156" s="1808"/>
      <c r="F156" s="1141"/>
      <c r="G156" s="1246"/>
    </row>
    <row r="157" spans="1:7" x14ac:dyDescent="0.25">
      <c r="A157" s="1140"/>
      <c r="B157" s="1140"/>
      <c r="C157" s="1140"/>
      <c r="D157" s="1140"/>
      <c r="E157" s="1140"/>
      <c r="F157" s="1140"/>
      <c r="G157" s="1246"/>
    </row>
    <row r="158" spans="1:7" ht="24" x14ac:dyDescent="0.25">
      <c r="A158" s="1146" t="s">
        <v>265</v>
      </c>
      <c r="B158" s="1146" t="s">
        <v>11</v>
      </c>
      <c r="C158" s="1913" t="s">
        <v>12</v>
      </c>
      <c r="D158" s="1913"/>
      <c r="E158" s="1251" t="s">
        <v>13</v>
      </c>
      <c r="F158" s="1168" t="s">
        <v>14</v>
      </c>
      <c r="G158" s="1252" t="s">
        <v>266</v>
      </c>
    </row>
    <row r="159" spans="1:7" x14ac:dyDescent="0.25">
      <c r="A159" s="1146">
        <v>1</v>
      </c>
      <c r="B159" s="1146">
        <v>2</v>
      </c>
      <c r="C159" s="1809">
        <v>3</v>
      </c>
      <c r="D159" s="1810"/>
      <c r="E159" s="1253">
        <v>4</v>
      </c>
      <c r="F159" s="1168">
        <v>5</v>
      </c>
      <c r="G159" s="1254">
        <v>6</v>
      </c>
    </row>
    <row r="160" spans="1:7" x14ac:dyDescent="0.25">
      <c r="A160" s="1172" t="s">
        <v>2378</v>
      </c>
      <c r="B160" s="1209" t="s">
        <v>495</v>
      </c>
      <c r="C160" s="1147"/>
      <c r="D160" s="1148"/>
      <c r="E160" s="1255"/>
      <c r="F160" s="1145"/>
      <c r="G160" s="1203"/>
    </row>
    <row r="161" spans="1:7" x14ac:dyDescent="0.25">
      <c r="A161" s="1172" t="s">
        <v>2379</v>
      </c>
      <c r="B161" s="1209" t="s">
        <v>86</v>
      </c>
      <c r="C161" s="1147"/>
      <c r="D161" s="1148"/>
      <c r="E161" s="1255"/>
      <c r="F161" s="1145"/>
      <c r="G161" s="1203"/>
    </row>
    <row r="162" spans="1:7" ht="24.75" x14ac:dyDescent="0.25">
      <c r="A162" s="1172" t="s">
        <v>2380</v>
      </c>
      <c r="B162" s="1209" t="s">
        <v>317</v>
      </c>
      <c r="C162" s="1159"/>
      <c r="D162" s="1211"/>
      <c r="E162" s="1160"/>
      <c r="F162" s="1220"/>
      <c r="G162" s="1203"/>
    </row>
    <row r="163" spans="1:7" x14ac:dyDescent="0.25">
      <c r="A163" s="1215"/>
      <c r="B163" s="1156" t="s">
        <v>2381</v>
      </c>
      <c r="C163" s="1159">
        <v>35</v>
      </c>
      <c r="D163" s="1148" t="s">
        <v>407</v>
      </c>
      <c r="E163" s="1160">
        <v>15000</v>
      </c>
      <c r="F163" s="1220">
        <f>E163*C163</f>
        <v>525000</v>
      </c>
      <c r="G163" s="1203"/>
    </row>
    <row r="164" spans="1:7" ht="24.75" x14ac:dyDescent="0.25">
      <c r="A164" s="1172" t="s">
        <v>2382</v>
      </c>
      <c r="B164" s="1209" t="s">
        <v>337</v>
      </c>
      <c r="C164" s="1159"/>
      <c r="D164" s="1148"/>
      <c r="E164" s="1160"/>
      <c r="F164" s="1220"/>
      <c r="G164" s="1203"/>
    </row>
    <row r="165" spans="1:7" x14ac:dyDescent="0.25">
      <c r="A165" s="1215"/>
      <c r="B165" s="1156" t="s">
        <v>338</v>
      </c>
      <c r="C165" s="1159">
        <v>1</v>
      </c>
      <c r="D165" s="1148" t="s">
        <v>92</v>
      </c>
      <c r="E165" s="1160">
        <v>90000</v>
      </c>
      <c r="F165" s="1220">
        <f>E165*C165</f>
        <v>90000</v>
      </c>
      <c r="G165" s="1203"/>
    </row>
    <row r="166" spans="1:7" x14ac:dyDescent="0.25">
      <c r="A166" s="1172" t="s">
        <v>2383</v>
      </c>
      <c r="B166" s="1209" t="s">
        <v>283</v>
      </c>
      <c r="C166" s="1159"/>
      <c r="D166" s="1148"/>
      <c r="E166" s="1160"/>
      <c r="F166" s="1220"/>
      <c r="G166" s="1203"/>
    </row>
    <row r="167" spans="1:7" x14ac:dyDescent="0.25">
      <c r="A167" s="1215"/>
      <c r="B167" s="1156" t="s">
        <v>451</v>
      </c>
      <c r="C167" s="1159">
        <v>1</v>
      </c>
      <c r="D167" s="1148" t="s">
        <v>92</v>
      </c>
      <c r="E167" s="1160">
        <v>50000</v>
      </c>
      <c r="F167" s="1220">
        <f>E167*C167</f>
        <v>50000</v>
      </c>
      <c r="G167" s="1203"/>
    </row>
    <row r="168" spans="1:7" x14ac:dyDescent="0.25">
      <c r="A168" s="1215"/>
      <c r="B168" s="1156" t="s">
        <v>285</v>
      </c>
      <c r="C168" s="1159">
        <v>5</v>
      </c>
      <c r="D168" s="1148" t="s">
        <v>165</v>
      </c>
      <c r="E168" s="1160">
        <v>1000</v>
      </c>
      <c r="F168" s="1220">
        <f>E168*C168</f>
        <v>5000</v>
      </c>
      <c r="G168" s="1203"/>
    </row>
    <row r="169" spans="1:7" x14ac:dyDescent="0.25">
      <c r="A169" s="1215"/>
      <c r="B169" s="1156" t="s">
        <v>299</v>
      </c>
      <c r="C169" s="1159">
        <v>1</v>
      </c>
      <c r="D169" s="1148" t="s">
        <v>300</v>
      </c>
      <c r="E169" s="1160">
        <v>10000</v>
      </c>
      <c r="F169" s="1220">
        <f>E169*C169</f>
        <v>10000</v>
      </c>
      <c r="G169" s="1203"/>
    </row>
    <row r="170" spans="1:7" x14ac:dyDescent="0.25">
      <c r="A170" s="1215"/>
      <c r="B170" s="1256" t="s">
        <v>2384</v>
      </c>
      <c r="C170" s="1159"/>
      <c r="D170" s="1148"/>
      <c r="E170" s="1160"/>
      <c r="F170" s="1220"/>
      <c r="G170" s="1203"/>
    </row>
    <row r="171" spans="1:7" x14ac:dyDescent="0.25">
      <c r="A171" s="1215"/>
      <c r="B171" s="1156" t="s">
        <v>2385</v>
      </c>
      <c r="C171" s="1159">
        <v>1</v>
      </c>
      <c r="D171" s="1148" t="s">
        <v>229</v>
      </c>
      <c r="E171" s="1160">
        <v>25000000</v>
      </c>
      <c r="F171" s="1220">
        <f>E171*C171</f>
        <v>25000000</v>
      </c>
      <c r="G171" s="1203"/>
    </row>
    <row r="172" spans="1:7" x14ac:dyDescent="0.25">
      <c r="A172" s="1172" t="s">
        <v>2386</v>
      </c>
      <c r="B172" s="1256" t="s">
        <v>511</v>
      </c>
      <c r="C172" s="1159"/>
      <c r="D172" s="1148"/>
      <c r="E172" s="1183"/>
      <c r="F172" s="1220"/>
      <c r="G172" s="1203"/>
    </row>
    <row r="173" spans="1:7" ht="36.75" x14ac:dyDescent="0.25">
      <c r="A173" s="1172" t="s">
        <v>2387</v>
      </c>
      <c r="B173" s="1209" t="s">
        <v>926</v>
      </c>
      <c r="C173" s="1159"/>
      <c r="D173" s="1148"/>
      <c r="E173" s="1183"/>
      <c r="F173" s="1213"/>
      <c r="G173" s="1203"/>
    </row>
    <row r="174" spans="1:7" x14ac:dyDescent="0.25">
      <c r="A174" s="1156"/>
      <c r="B174" s="1156" t="s">
        <v>2388</v>
      </c>
      <c r="C174" s="1159">
        <v>2</v>
      </c>
      <c r="D174" s="1148" t="s">
        <v>1888</v>
      </c>
      <c r="E174" s="1183">
        <v>300000</v>
      </c>
      <c r="F174" s="1213">
        <f>E174*C174</f>
        <v>600000</v>
      </c>
      <c r="G174" s="1203"/>
    </row>
    <row r="175" spans="1:7" x14ac:dyDescent="0.25">
      <c r="A175" s="1156"/>
      <c r="B175" s="1257"/>
      <c r="C175" s="1194"/>
      <c r="D175" s="1218"/>
      <c r="E175" s="1258"/>
      <c r="F175" s="1219"/>
      <c r="G175" s="1203"/>
    </row>
    <row r="176" spans="1:7" x14ac:dyDescent="0.25">
      <c r="A176" s="1210"/>
      <c r="B176" s="1914" t="s">
        <v>26</v>
      </c>
      <c r="C176" s="1914"/>
      <c r="D176" s="1914"/>
      <c r="E176" s="1914"/>
      <c r="F176" s="1259">
        <f>SUM(F163:F174)</f>
        <v>26280000</v>
      </c>
      <c r="G176" s="1203"/>
    </row>
    <row r="177" spans="1:7" x14ac:dyDescent="0.25">
      <c r="A177" s="1807" t="s">
        <v>549</v>
      </c>
      <c r="B177" s="1807"/>
      <c r="C177" s="1141" t="s">
        <v>27</v>
      </c>
      <c r="D177" s="1808" t="s">
        <v>1429</v>
      </c>
      <c r="E177" s="1808"/>
      <c r="F177" s="1808"/>
      <c r="G177" s="1141"/>
    </row>
    <row r="178" spans="1:7" x14ac:dyDescent="0.25">
      <c r="A178" s="1807" t="s">
        <v>28</v>
      </c>
      <c r="B178" s="1807"/>
      <c r="C178" s="1141"/>
      <c r="D178" s="1908" t="s">
        <v>1777</v>
      </c>
      <c r="E178" s="1908"/>
      <c r="F178" s="1908"/>
      <c r="G178" s="1141"/>
    </row>
    <row r="179" spans="1:7" x14ac:dyDescent="0.25">
      <c r="A179" s="1139"/>
      <c r="B179" s="1140"/>
      <c r="C179" s="1141"/>
      <c r="D179" s="1142"/>
      <c r="E179" s="1164"/>
      <c r="F179" s="1164"/>
      <c r="G179" s="1141"/>
    </row>
    <row r="180" spans="1:7" x14ac:dyDescent="0.25">
      <c r="A180" s="1139"/>
      <c r="B180" s="1140"/>
      <c r="C180" s="1141"/>
      <c r="D180" s="1142"/>
      <c r="E180" s="1164"/>
      <c r="F180" s="1260"/>
      <c r="G180" s="1141"/>
    </row>
    <row r="181" spans="1:7" x14ac:dyDescent="0.25">
      <c r="A181" s="1807"/>
      <c r="B181" s="1807"/>
      <c r="C181" s="1141"/>
      <c r="D181" s="1142"/>
      <c r="E181" s="1909"/>
      <c r="F181" s="1807"/>
      <c r="G181" s="1141"/>
    </row>
    <row r="182" spans="1:7" x14ac:dyDescent="0.25">
      <c r="A182" s="1807" t="s">
        <v>29</v>
      </c>
      <c r="B182" s="1807"/>
      <c r="C182" s="1141"/>
      <c r="D182" s="1807" t="s">
        <v>550</v>
      </c>
      <c r="E182" s="1807"/>
      <c r="F182" s="1807"/>
      <c r="G182" s="1141"/>
    </row>
    <row r="183" spans="1:7" x14ac:dyDescent="0.25">
      <c r="A183" s="1765" t="s">
        <v>0</v>
      </c>
      <c r="B183" s="1765"/>
      <c r="C183" s="1765"/>
      <c r="D183" s="1765"/>
      <c r="E183" s="1765"/>
      <c r="F183" s="1765"/>
      <c r="G183" s="1765"/>
    </row>
    <row r="184" spans="1:7" x14ac:dyDescent="0.25">
      <c r="A184" s="1765" t="s">
        <v>1</v>
      </c>
      <c r="B184" s="1765"/>
      <c r="C184" s="1765"/>
      <c r="D184" s="1765"/>
      <c r="E184" s="1765"/>
      <c r="F184" s="1765"/>
      <c r="G184" s="1765"/>
    </row>
    <row r="185" spans="1:7" x14ac:dyDescent="0.25">
      <c r="A185" s="1765" t="s">
        <v>1769</v>
      </c>
      <c r="B185" s="1765"/>
      <c r="C185" s="1765"/>
      <c r="D185" s="1765"/>
      <c r="E185" s="1765"/>
      <c r="F185" s="1765"/>
      <c r="G185" s="1765"/>
    </row>
    <row r="186" spans="1:7" x14ac:dyDescent="0.25">
      <c r="A186" s="184"/>
      <c r="B186" s="184"/>
      <c r="C186" s="184"/>
      <c r="D186" s="184"/>
      <c r="E186" s="184"/>
      <c r="F186" s="184"/>
      <c r="G186" s="581"/>
    </row>
    <row r="187" spans="1:7" x14ac:dyDescent="0.25">
      <c r="A187" s="749" t="s">
        <v>491</v>
      </c>
      <c r="B187" s="749" t="s">
        <v>911</v>
      </c>
      <c r="C187" s="749"/>
      <c r="D187" s="218"/>
      <c r="E187" s="188"/>
      <c r="F187" s="218"/>
      <c r="G187" s="5"/>
    </row>
    <row r="188" spans="1:7" x14ac:dyDescent="0.25">
      <c r="A188" s="750" t="s">
        <v>921</v>
      </c>
      <c r="B188" s="225" t="s">
        <v>1015</v>
      </c>
      <c r="C188" s="225"/>
      <c r="D188" s="220"/>
      <c r="E188" s="190" t="s">
        <v>6</v>
      </c>
      <c r="F188" s="190"/>
      <c r="G188" s="5"/>
    </row>
    <row r="189" spans="1:7" ht="51" x14ac:dyDescent="0.25">
      <c r="A189" s="750" t="s">
        <v>923</v>
      </c>
      <c r="B189" s="751" t="s">
        <v>2389</v>
      </c>
      <c r="C189" s="751"/>
      <c r="D189" s="220"/>
      <c r="E189" s="558" t="s">
        <v>9</v>
      </c>
      <c r="F189" s="558"/>
      <c r="G189" s="5"/>
    </row>
    <row r="190" spans="1:7" x14ac:dyDescent="0.25">
      <c r="A190" s="226" t="s">
        <v>60</v>
      </c>
      <c r="B190" s="226" t="s">
        <v>61</v>
      </c>
      <c r="C190" s="226"/>
      <c r="D190" s="188"/>
      <c r="E190" s="188"/>
      <c r="F190" s="188"/>
      <c r="G190" s="5"/>
    </row>
    <row r="191" spans="1:7" x14ac:dyDescent="0.25">
      <c r="A191" s="226" t="s">
        <v>62</v>
      </c>
      <c r="B191" s="226" t="s">
        <v>461</v>
      </c>
      <c r="C191" s="226"/>
      <c r="D191" s="1763"/>
      <c r="E191" s="1763"/>
      <c r="F191" s="188"/>
      <c r="G191" s="5"/>
    </row>
    <row r="192" spans="1:7" x14ac:dyDescent="0.25">
      <c r="A192" s="187"/>
      <c r="B192" s="187"/>
      <c r="C192" s="187"/>
      <c r="D192" s="187"/>
      <c r="E192" s="187"/>
      <c r="F192" s="187"/>
      <c r="G192" s="5"/>
    </row>
    <row r="193" spans="1:7" ht="24" x14ac:dyDescent="0.25">
      <c r="A193" s="198" t="s">
        <v>265</v>
      </c>
      <c r="B193" s="198" t="s">
        <v>11</v>
      </c>
      <c r="C193" s="1766" t="s">
        <v>12</v>
      </c>
      <c r="D193" s="1766"/>
      <c r="E193" s="267" t="s">
        <v>13</v>
      </c>
      <c r="F193" s="268" t="s">
        <v>14</v>
      </c>
      <c r="G193" s="38" t="s">
        <v>266</v>
      </c>
    </row>
    <row r="194" spans="1:7" x14ac:dyDescent="0.25">
      <c r="A194" s="198">
        <v>1</v>
      </c>
      <c r="B194" s="198">
        <v>2</v>
      </c>
      <c r="C194" s="1767">
        <v>3</v>
      </c>
      <c r="D194" s="1768"/>
      <c r="E194" s="269">
        <v>4</v>
      </c>
      <c r="F194" s="268">
        <v>5</v>
      </c>
      <c r="G194" s="39">
        <v>6</v>
      </c>
    </row>
    <row r="195" spans="1:7" x14ac:dyDescent="0.25">
      <c r="A195" s="212" t="s">
        <v>2378</v>
      </c>
      <c r="B195" s="436" t="s">
        <v>495</v>
      </c>
      <c r="C195" s="205"/>
      <c r="D195" s="206"/>
      <c r="E195" s="2"/>
      <c r="F195" s="197"/>
      <c r="G195" s="4"/>
    </row>
    <row r="196" spans="1:7" x14ac:dyDescent="0.25">
      <c r="A196" s="212" t="s">
        <v>2379</v>
      </c>
      <c r="B196" s="436" t="s">
        <v>86</v>
      </c>
      <c r="C196" s="205"/>
      <c r="D196" s="206"/>
      <c r="E196" s="2"/>
      <c r="F196" s="197"/>
      <c r="G196" s="4"/>
    </row>
    <row r="197" spans="1:7" ht="24.75" x14ac:dyDescent="0.25">
      <c r="A197" s="212" t="s">
        <v>2380</v>
      </c>
      <c r="B197" s="436" t="s">
        <v>317</v>
      </c>
      <c r="C197" s="214"/>
      <c r="D197" s="407"/>
      <c r="E197" s="215"/>
      <c r="F197" s="368"/>
      <c r="G197" s="4"/>
    </row>
    <row r="198" spans="1:7" x14ac:dyDescent="0.25">
      <c r="A198" s="217"/>
      <c r="B198" s="229" t="s">
        <v>2596</v>
      </c>
      <c r="C198" s="214">
        <v>31</v>
      </c>
      <c r="D198" s="206" t="s">
        <v>407</v>
      </c>
      <c r="E198" s="215">
        <v>15000</v>
      </c>
      <c r="F198" s="368">
        <f>E198*C198</f>
        <v>465000</v>
      </c>
      <c r="G198" s="4"/>
    </row>
    <row r="199" spans="1:7" ht="24.75" x14ac:dyDescent="0.25">
      <c r="A199" s="212" t="s">
        <v>2382</v>
      </c>
      <c r="B199" s="436" t="s">
        <v>337</v>
      </c>
      <c r="C199" s="214"/>
      <c r="D199" s="206"/>
      <c r="E199" s="215"/>
      <c r="F199" s="368"/>
      <c r="G199" s="4"/>
    </row>
    <row r="200" spans="1:7" x14ac:dyDescent="0.25">
      <c r="A200" s="217"/>
      <c r="B200" s="217" t="s">
        <v>338</v>
      </c>
      <c r="C200" s="214">
        <v>1</v>
      </c>
      <c r="D200" s="206" t="s">
        <v>92</v>
      </c>
      <c r="E200" s="215">
        <v>90000</v>
      </c>
      <c r="F200" s="368">
        <f>E200*C200</f>
        <v>90000</v>
      </c>
      <c r="G200" s="4"/>
    </row>
    <row r="201" spans="1:7" x14ac:dyDescent="0.25">
      <c r="A201" s="212" t="s">
        <v>2383</v>
      </c>
      <c r="B201" s="550" t="s">
        <v>283</v>
      </c>
      <c r="C201" s="214"/>
      <c r="D201" s="206"/>
      <c r="E201" s="215"/>
      <c r="F201" s="368"/>
      <c r="G201" s="4"/>
    </row>
    <row r="202" spans="1:7" x14ac:dyDescent="0.25">
      <c r="A202" s="217"/>
      <c r="B202" s="217" t="s">
        <v>451</v>
      </c>
      <c r="C202" s="214">
        <v>1</v>
      </c>
      <c r="D202" s="206" t="s">
        <v>92</v>
      </c>
      <c r="E202" s="215">
        <v>50000</v>
      </c>
      <c r="F202" s="368">
        <f>E202*C202</f>
        <v>50000</v>
      </c>
      <c r="G202" s="4"/>
    </row>
    <row r="203" spans="1:7" x14ac:dyDescent="0.25">
      <c r="A203" s="217"/>
      <c r="B203" s="217" t="s">
        <v>285</v>
      </c>
      <c r="C203" s="214">
        <v>5</v>
      </c>
      <c r="D203" s="206" t="s">
        <v>165</v>
      </c>
      <c r="E203" s="215">
        <v>1000</v>
      </c>
      <c r="F203" s="368">
        <f>E203*C203</f>
        <v>5000</v>
      </c>
      <c r="G203" s="4"/>
    </row>
    <row r="204" spans="1:7" x14ac:dyDescent="0.25">
      <c r="A204" s="217"/>
      <c r="B204" s="217" t="s">
        <v>299</v>
      </c>
      <c r="C204" s="214">
        <v>1</v>
      </c>
      <c r="D204" s="206" t="s">
        <v>300</v>
      </c>
      <c r="E204" s="215">
        <v>10000</v>
      </c>
      <c r="F204" s="368">
        <f>E204*C204</f>
        <v>10000</v>
      </c>
      <c r="G204" s="4"/>
    </row>
    <row r="205" spans="1:7" x14ac:dyDescent="0.25">
      <c r="A205" s="212" t="s">
        <v>2386</v>
      </c>
      <c r="B205" s="550" t="s">
        <v>511</v>
      </c>
      <c r="C205" s="214"/>
      <c r="D205" s="206"/>
      <c r="E205" s="231"/>
      <c r="F205" s="368"/>
      <c r="G205" s="4"/>
    </row>
    <row r="206" spans="1:7" ht="36.75" x14ac:dyDescent="0.25">
      <c r="A206" s="212" t="s">
        <v>2387</v>
      </c>
      <c r="B206" s="436" t="s">
        <v>926</v>
      </c>
      <c r="C206" s="214"/>
      <c r="D206" s="206"/>
      <c r="E206" s="231"/>
      <c r="F206" s="449"/>
      <c r="G206" s="4"/>
    </row>
    <row r="207" spans="1:7" x14ac:dyDescent="0.25">
      <c r="A207" s="217"/>
      <c r="B207" s="217" t="s">
        <v>2388</v>
      </c>
      <c r="C207" s="214">
        <v>2</v>
      </c>
      <c r="D207" s="206" t="s">
        <v>1888</v>
      </c>
      <c r="E207" s="231">
        <v>300000</v>
      </c>
      <c r="F207" s="449">
        <f>E207*C207</f>
        <v>600000</v>
      </c>
      <c r="G207" s="4"/>
    </row>
    <row r="208" spans="1:7" x14ac:dyDescent="0.25">
      <c r="A208" s="217"/>
      <c r="B208" s="752"/>
      <c r="C208" s="235"/>
      <c r="D208" s="451"/>
      <c r="E208" s="426"/>
      <c r="F208" s="367"/>
      <c r="G208" s="4"/>
    </row>
    <row r="209" spans="1:16" ht="45" x14ac:dyDescent="0.25">
      <c r="A209" s="243"/>
      <c r="B209" s="1790" t="s">
        <v>26</v>
      </c>
      <c r="C209" s="1790"/>
      <c r="D209" s="1790"/>
      <c r="E209" s="1790"/>
      <c r="F209" s="368">
        <f>SUM(F198:F207)</f>
        <v>1220000</v>
      </c>
      <c r="G209" s="4" t="s">
        <v>2567</v>
      </c>
      <c r="K209" s="32"/>
      <c r="P209" s="32">
        <f>F209</f>
        <v>1220000</v>
      </c>
    </row>
    <row r="210" spans="1:16" x14ac:dyDescent="0.25">
      <c r="A210" s="1762" t="s">
        <v>549</v>
      </c>
      <c r="B210" s="1762"/>
      <c r="C210" s="188" t="s">
        <v>27</v>
      </c>
      <c r="D210" s="1763" t="s">
        <v>1426</v>
      </c>
      <c r="E210" s="1763"/>
      <c r="F210" s="1763"/>
      <c r="G210" s="188"/>
    </row>
    <row r="211" spans="1:16" x14ac:dyDescent="0.25">
      <c r="A211" s="1762" t="s">
        <v>28</v>
      </c>
      <c r="B211" s="1762"/>
      <c r="C211" s="188"/>
      <c r="D211" s="1764" t="s">
        <v>2835</v>
      </c>
      <c r="E211" s="1764"/>
      <c r="F211" s="1764"/>
      <c r="G211" s="188"/>
      <c r="H211" s="36"/>
    </row>
    <row r="212" spans="1:16" x14ac:dyDescent="0.25">
      <c r="A212" s="186"/>
      <c r="B212" s="187"/>
      <c r="C212" s="188"/>
      <c r="D212" s="189"/>
      <c r="E212" s="218"/>
      <c r="F212" s="218"/>
      <c r="G212" s="188"/>
    </row>
    <row r="213" spans="1:16" x14ac:dyDescent="0.25">
      <c r="A213" s="186"/>
      <c r="B213" s="187"/>
      <c r="C213" s="188"/>
      <c r="D213" s="189"/>
      <c r="E213" s="218"/>
      <c r="F213" s="218"/>
      <c r="G213" s="188"/>
    </row>
    <row r="214" spans="1:16" x14ac:dyDescent="0.25">
      <c r="A214" s="1762"/>
      <c r="B214" s="1762"/>
      <c r="C214" s="188"/>
      <c r="D214" s="189"/>
      <c r="E214" s="1762"/>
      <c r="F214" s="1762"/>
      <c r="G214" s="188"/>
    </row>
    <row r="215" spans="1:16" x14ac:dyDescent="0.25">
      <c r="A215" s="1762" t="s">
        <v>29</v>
      </c>
      <c r="B215" s="1762"/>
      <c r="C215" s="188"/>
      <c r="D215" s="1762" t="s">
        <v>2990</v>
      </c>
      <c r="E215" s="1762"/>
      <c r="F215" s="1762"/>
      <c r="G215" s="188"/>
    </row>
    <row r="216" spans="1:16" x14ac:dyDescent="0.25">
      <c r="A216" s="1920" t="s">
        <v>0</v>
      </c>
      <c r="B216" s="1920"/>
      <c r="C216" s="1920"/>
      <c r="D216" s="1920"/>
      <c r="E216" s="1920"/>
      <c r="F216" s="1920"/>
      <c r="G216" s="1920"/>
    </row>
    <row r="217" spans="1:16" x14ac:dyDescent="0.25">
      <c r="A217" s="1920" t="s">
        <v>1</v>
      </c>
      <c r="B217" s="1920"/>
      <c r="C217" s="1920"/>
      <c r="D217" s="1920"/>
      <c r="E217" s="1920"/>
      <c r="F217" s="1920"/>
      <c r="G217" s="1920"/>
    </row>
    <row r="218" spans="1:16" x14ac:dyDescent="0.25">
      <c r="A218" s="1920" t="s">
        <v>1769</v>
      </c>
      <c r="B218" s="1920"/>
      <c r="C218" s="1920"/>
      <c r="D218" s="1920"/>
      <c r="E218" s="1920"/>
      <c r="F218" s="1920"/>
      <c r="G218" s="1920"/>
    </row>
    <row r="219" spans="1:16" x14ac:dyDescent="0.25">
      <c r="A219" s="1261"/>
      <c r="B219" s="1261"/>
      <c r="C219" s="1261"/>
      <c r="D219" s="1261"/>
      <c r="E219" s="1261"/>
      <c r="F219" s="1261"/>
      <c r="G219" s="1262"/>
    </row>
    <row r="220" spans="1:16" x14ac:dyDescent="0.25">
      <c r="A220" s="1263" t="s">
        <v>261</v>
      </c>
      <c r="B220" s="1263" t="s">
        <v>911</v>
      </c>
      <c r="C220" s="1263"/>
      <c r="D220" s="1263"/>
      <c r="E220" s="1143" t="s">
        <v>6</v>
      </c>
      <c r="F220" s="1264" t="s">
        <v>63</v>
      </c>
      <c r="G220" s="1265"/>
    </row>
    <row r="221" spans="1:16" x14ac:dyDescent="0.25">
      <c r="A221" s="1263" t="s">
        <v>262</v>
      </c>
      <c r="B221" s="1266" t="s">
        <v>1123</v>
      </c>
      <c r="C221" s="1263"/>
      <c r="D221" s="1263"/>
      <c r="E221" s="1167" t="s">
        <v>515</v>
      </c>
      <c r="F221" s="1267" t="s">
        <v>63</v>
      </c>
      <c r="G221" s="1265"/>
    </row>
    <row r="222" spans="1:16" s="5" customFormat="1" ht="24.75" customHeight="1" x14ac:dyDescent="0.25">
      <c r="A222" s="1268" t="s">
        <v>263</v>
      </c>
      <c r="B222" s="1269" t="s">
        <v>2390</v>
      </c>
      <c r="C222" s="1269"/>
      <c r="D222" s="1269"/>
      <c r="E222" s="1270"/>
      <c r="F222" s="1271"/>
      <c r="G222" s="1265"/>
    </row>
    <row r="223" spans="1:16" x14ac:dyDescent="0.25">
      <c r="A223" s="1141" t="s">
        <v>60</v>
      </c>
      <c r="B223" s="1141" t="s">
        <v>61</v>
      </c>
      <c r="C223" s="1141"/>
      <c r="D223" s="1141"/>
      <c r="E223" s="1141"/>
      <c r="F223" s="1272"/>
      <c r="G223" s="1265"/>
    </row>
    <row r="224" spans="1:16" x14ac:dyDescent="0.25">
      <c r="A224" s="1141" t="s">
        <v>62</v>
      </c>
      <c r="B224" s="1141" t="s">
        <v>63</v>
      </c>
      <c r="C224" s="1141"/>
      <c r="D224" s="1808"/>
      <c r="E224" s="1808"/>
      <c r="F224" s="1272"/>
      <c r="G224" s="1265"/>
    </row>
    <row r="225" spans="1:7" x14ac:dyDescent="0.25">
      <c r="A225" s="1207" t="s">
        <v>265</v>
      </c>
      <c r="B225" s="1207" t="s">
        <v>11</v>
      </c>
      <c r="C225" s="1921" t="s">
        <v>12</v>
      </c>
      <c r="D225" s="1922"/>
      <c r="E225" s="1274" t="s">
        <v>13</v>
      </c>
      <c r="F225" s="1273" t="s">
        <v>14</v>
      </c>
      <c r="G225" s="1275" t="s">
        <v>266</v>
      </c>
    </row>
    <row r="226" spans="1:7" x14ac:dyDescent="0.25">
      <c r="A226" s="1146">
        <v>1</v>
      </c>
      <c r="B226" s="1146">
        <v>2</v>
      </c>
      <c r="C226" s="1809">
        <v>3</v>
      </c>
      <c r="D226" s="1810"/>
      <c r="E226" s="1253">
        <v>4</v>
      </c>
      <c r="F226" s="1168">
        <v>5</v>
      </c>
      <c r="G226" s="1276">
        <v>6</v>
      </c>
    </row>
    <row r="227" spans="1:7" x14ac:dyDescent="0.25">
      <c r="A227" s="1152" t="s">
        <v>1515</v>
      </c>
      <c r="B227" s="1277" t="s">
        <v>287</v>
      </c>
      <c r="C227" s="1147"/>
      <c r="D227" s="1148"/>
      <c r="E227" s="1145"/>
      <c r="F227" s="1145"/>
      <c r="G227" s="1278"/>
    </row>
    <row r="228" spans="1:7" x14ac:dyDescent="0.25">
      <c r="A228" s="1152" t="s">
        <v>1516</v>
      </c>
      <c r="B228" s="1279" t="s">
        <v>86</v>
      </c>
      <c r="C228" s="1147"/>
      <c r="D228" s="1148"/>
      <c r="E228" s="1145"/>
      <c r="F228" s="1145"/>
      <c r="G228" s="1278"/>
    </row>
    <row r="229" spans="1:7" ht="24" x14ac:dyDescent="0.25">
      <c r="A229" s="1152" t="s">
        <v>1517</v>
      </c>
      <c r="B229" s="1157" t="s">
        <v>317</v>
      </c>
      <c r="C229" s="1147"/>
      <c r="D229" s="1148"/>
      <c r="E229" s="1280"/>
      <c r="F229" s="1281"/>
      <c r="G229" s="1282"/>
    </row>
    <row r="230" spans="1:7" x14ac:dyDescent="0.25">
      <c r="A230" s="1283"/>
      <c r="B230" s="1284" t="s">
        <v>1467</v>
      </c>
      <c r="C230" s="1147">
        <v>35</v>
      </c>
      <c r="D230" s="1148" t="s">
        <v>279</v>
      </c>
      <c r="E230" s="1285">
        <v>15000</v>
      </c>
      <c r="F230" s="1281">
        <f t="shared" ref="F230:F261" si="1">C230*E230</f>
        <v>525000</v>
      </c>
      <c r="G230" s="1282"/>
    </row>
    <row r="231" spans="1:7" ht="36" x14ac:dyDescent="0.25">
      <c r="A231" s="1283"/>
      <c r="B231" s="1286" t="s">
        <v>2391</v>
      </c>
      <c r="C231" s="1147">
        <v>244</v>
      </c>
      <c r="D231" s="1148" t="s">
        <v>279</v>
      </c>
      <c r="E231" s="1285">
        <v>15000</v>
      </c>
      <c r="F231" s="1281">
        <f t="shared" si="1"/>
        <v>3660000</v>
      </c>
      <c r="G231" s="1282"/>
    </row>
    <row r="232" spans="1:7" ht="39" customHeight="1" x14ac:dyDescent="0.25">
      <c r="A232" s="1287"/>
      <c r="B232" s="1286" t="s">
        <v>2392</v>
      </c>
      <c r="C232" s="1147">
        <v>61</v>
      </c>
      <c r="D232" s="1148" t="s">
        <v>279</v>
      </c>
      <c r="E232" s="1285">
        <v>15000</v>
      </c>
      <c r="F232" s="1281">
        <f t="shared" si="1"/>
        <v>915000</v>
      </c>
      <c r="G232" s="1282"/>
    </row>
    <row r="233" spans="1:7" ht="49.5" customHeight="1" x14ac:dyDescent="0.25">
      <c r="A233" s="1288"/>
      <c r="B233" s="1289" t="s">
        <v>2393</v>
      </c>
      <c r="C233" s="1147">
        <v>105</v>
      </c>
      <c r="D233" s="1148" t="s">
        <v>279</v>
      </c>
      <c r="E233" s="1285">
        <v>15000</v>
      </c>
      <c r="F233" s="1281">
        <f t="shared" si="1"/>
        <v>1575000</v>
      </c>
      <c r="G233" s="1282"/>
    </row>
    <row r="234" spans="1:7" ht="15" customHeight="1" x14ac:dyDescent="0.25">
      <c r="A234" s="1152" t="s">
        <v>1599</v>
      </c>
      <c r="B234" s="1290" t="s">
        <v>1018</v>
      </c>
      <c r="C234" s="1147"/>
      <c r="D234" s="1148"/>
      <c r="E234" s="1285"/>
      <c r="F234" s="1281"/>
      <c r="G234" s="1282"/>
    </row>
    <row r="235" spans="1:7" ht="15" customHeight="1" x14ac:dyDescent="0.25">
      <c r="A235" s="1152"/>
      <c r="B235" s="1286" t="s">
        <v>2394</v>
      </c>
      <c r="C235" s="1147">
        <v>50</v>
      </c>
      <c r="D235" s="1148" t="s">
        <v>110</v>
      </c>
      <c r="E235" s="1285">
        <v>25000</v>
      </c>
      <c r="F235" s="1281">
        <f t="shared" si="1"/>
        <v>1250000</v>
      </c>
      <c r="G235" s="1282"/>
    </row>
    <row r="236" spans="1:7" ht="15" customHeight="1" x14ac:dyDescent="0.25">
      <c r="A236" s="1152"/>
      <c r="B236" s="1286" t="s">
        <v>2395</v>
      </c>
      <c r="C236" s="1147">
        <v>30</v>
      </c>
      <c r="D236" s="1148" t="s">
        <v>92</v>
      </c>
      <c r="E236" s="1285">
        <v>50000</v>
      </c>
      <c r="F236" s="1281">
        <f t="shared" si="1"/>
        <v>1500000</v>
      </c>
      <c r="G236" s="1282"/>
    </row>
    <row r="237" spans="1:7" ht="15" customHeight="1" x14ac:dyDescent="0.25">
      <c r="A237" s="1152"/>
      <c r="B237" s="1286" t="s">
        <v>1463</v>
      </c>
      <c r="C237" s="1147">
        <v>50</v>
      </c>
      <c r="D237" s="1148" t="s">
        <v>138</v>
      </c>
      <c r="E237" s="1285">
        <v>350000</v>
      </c>
      <c r="F237" s="1281">
        <f t="shared" si="1"/>
        <v>17500000</v>
      </c>
      <c r="G237" s="1282"/>
    </row>
    <row r="238" spans="1:7" ht="24" x14ac:dyDescent="0.25">
      <c r="A238" s="1152" t="s">
        <v>1518</v>
      </c>
      <c r="B238" s="1290" t="s">
        <v>1037</v>
      </c>
      <c r="C238" s="1147"/>
      <c r="D238" s="1148"/>
      <c r="E238" s="1285"/>
      <c r="F238" s="1281"/>
      <c r="G238" s="1282"/>
    </row>
    <row r="239" spans="1:7" x14ac:dyDescent="0.25">
      <c r="A239" s="1283"/>
      <c r="B239" s="1286" t="s">
        <v>836</v>
      </c>
      <c r="C239" s="1147">
        <v>3</v>
      </c>
      <c r="D239" s="1148" t="s">
        <v>110</v>
      </c>
      <c r="E239" s="1285">
        <v>90000</v>
      </c>
      <c r="F239" s="1281">
        <f t="shared" si="1"/>
        <v>270000</v>
      </c>
      <c r="G239" s="1282"/>
    </row>
    <row r="240" spans="1:7" x14ac:dyDescent="0.25">
      <c r="A240" s="1152" t="s">
        <v>1519</v>
      </c>
      <c r="B240" s="1291" t="s">
        <v>283</v>
      </c>
      <c r="C240" s="1147"/>
      <c r="D240" s="1148"/>
      <c r="E240" s="1285"/>
      <c r="F240" s="1281"/>
      <c r="G240" s="1282"/>
    </row>
    <row r="241" spans="1:7" ht="12" customHeight="1" x14ac:dyDescent="0.25">
      <c r="A241" s="1156"/>
      <c r="B241" s="1158" t="s">
        <v>451</v>
      </c>
      <c r="C241" s="1147">
        <v>2</v>
      </c>
      <c r="D241" s="1148" t="s">
        <v>95</v>
      </c>
      <c r="E241" s="1285">
        <v>50000</v>
      </c>
      <c r="F241" s="1281">
        <f t="shared" si="1"/>
        <v>100000</v>
      </c>
      <c r="G241" s="1282"/>
    </row>
    <row r="242" spans="1:7" ht="12" customHeight="1" x14ac:dyDescent="0.25">
      <c r="A242" s="1156"/>
      <c r="B242" s="1158" t="s">
        <v>285</v>
      </c>
      <c r="C242" s="1147">
        <v>5</v>
      </c>
      <c r="D242" s="1148" t="s">
        <v>165</v>
      </c>
      <c r="E242" s="1285">
        <v>1000</v>
      </c>
      <c r="F242" s="1281">
        <f t="shared" si="1"/>
        <v>5000</v>
      </c>
      <c r="G242" s="1282"/>
    </row>
    <row r="243" spans="1:7" ht="12" customHeight="1" x14ac:dyDescent="0.25">
      <c r="A243" s="1156"/>
      <c r="B243" s="1158" t="s">
        <v>299</v>
      </c>
      <c r="C243" s="1147">
        <v>1</v>
      </c>
      <c r="D243" s="1148" t="s">
        <v>300</v>
      </c>
      <c r="E243" s="1285">
        <v>10000</v>
      </c>
      <c r="F243" s="1281">
        <f t="shared" si="1"/>
        <v>10000</v>
      </c>
      <c r="G243" s="1282"/>
    </row>
    <row r="244" spans="1:7" ht="12" customHeight="1" x14ac:dyDescent="0.25">
      <c r="A244" s="1292"/>
      <c r="B244" s="1286" t="s">
        <v>372</v>
      </c>
      <c r="C244" s="1147">
        <v>2</v>
      </c>
      <c r="D244" s="1148" t="s">
        <v>110</v>
      </c>
      <c r="E244" s="1285">
        <v>10000</v>
      </c>
      <c r="F244" s="1281">
        <f t="shared" si="1"/>
        <v>20000</v>
      </c>
      <c r="G244" s="1282"/>
    </row>
    <row r="245" spans="1:7" x14ac:dyDescent="0.25">
      <c r="A245" s="1152" t="s">
        <v>1520</v>
      </c>
      <c r="B245" s="1290" t="s">
        <v>304</v>
      </c>
      <c r="C245" s="1147"/>
      <c r="D245" s="1148"/>
      <c r="E245" s="1285"/>
      <c r="F245" s="1281"/>
      <c r="G245" s="1282"/>
    </row>
    <row r="246" spans="1:7" ht="24" x14ac:dyDescent="0.25">
      <c r="A246" s="1152" t="s">
        <v>1521</v>
      </c>
      <c r="B246" s="1290" t="s">
        <v>1036</v>
      </c>
      <c r="C246" s="1147"/>
      <c r="D246" s="1148"/>
      <c r="E246" s="1285"/>
      <c r="F246" s="1281"/>
      <c r="G246" s="1282"/>
    </row>
    <row r="247" spans="1:7" ht="12" customHeight="1" x14ac:dyDescent="0.25">
      <c r="A247" s="1293"/>
      <c r="B247" s="1294" t="s">
        <v>2396</v>
      </c>
      <c r="C247" s="1147">
        <v>10</v>
      </c>
      <c r="D247" s="1148" t="s">
        <v>419</v>
      </c>
      <c r="E247" s="1285">
        <v>300000</v>
      </c>
      <c r="F247" s="1281">
        <f t="shared" si="1"/>
        <v>3000000</v>
      </c>
      <c r="G247" s="1282"/>
    </row>
    <row r="248" spans="1:7" ht="12" customHeight="1" x14ac:dyDescent="0.25">
      <c r="A248" s="1288"/>
      <c r="B248" s="1294" t="s">
        <v>760</v>
      </c>
      <c r="C248" s="1147">
        <v>1</v>
      </c>
      <c r="D248" s="1148" t="s">
        <v>419</v>
      </c>
      <c r="E248" s="1285">
        <v>200000</v>
      </c>
      <c r="F248" s="1281">
        <f t="shared" si="1"/>
        <v>200000</v>
      </c>
      <c r="G248" s="1282"/>
    </row>
    <row r="249" spans="1:7" ht="24" x14ac:dyDescent="0.25">
      <c r="A249" s="1152" t="s">
        <v>1597</v>
      </c>
      <c r="B249" s="1157" t="s">
        <v>485</v>
      </c>
      <c r="C249" s="1168"/>
      <c r="D249" s="1169"/>
      <c r="E249" s="1295"/>
      <c r="F249" s="1281"/>
      <c r="G249" s="1282"/>
    </row>
    <row r="250" spans="1:7" ht="24.75" x14ac:dyDescent="0.25">
      <c r="A250" s="1152" t="s">
        <v>2397</v>
      </c>
      <c r="B250" s="1209" t="s">
        <v>1056</v>
      </c>
      <c r="C250" s="1159"/>
      <c r="D250" s="1173"/>
      <c r="E250" s="1160"/>
      <c r="F250" s="1281"/>
      <c r="G250" s="1296"/>
    </row>
    <row r="251" spans="1:7" ht="12" customHeight="1" x14ac:dyDescent="0.25">
      <c r="A251" s="1152"/>
      <c r="B251" s="1156" t="s">
        <v>188</v>
      </c>
      <c r="C251" s="1159">
        <v>1</v>
      </c>
      <c r="D251" s="1297" t="s">
        <v>407</v>
      </c>
      <c r="E251" s="1160">
        <v>300000</v>
      </c>
      <c r="F251" s="1281">
        <f t="shared" si="1"/>
        <v>300000</v>
      </c>
      <c r="G251" s="1296"/>
    </row>
    <row r="252" spans="1:7" ht="12" customHeight="1" x14ac:dyDescent="0.25">
      <c r="A252" s="1152"/>
      <c r="B252" s="1156" t="s">
        <v>189</v>
      </c>
      <c r="C252" s="1159">
        <v>1</v>
      </c>
      <c r="D252" s="1297" t="s">
        <v>407</v>
      </c>
      <c r="E252" s="1160">
        <v>250000</v>
      </c>
      <c r="F252" s="1281">
        <f t="shared" si="1"/>
        <v>250000</v>
      </c>
      <c r="G252" s="1296"/>
    </row>
    <row r="253" spans="1:7" ht="12" customHeight="1" x14ac:dyDescent="0.25">
      <c r="A253" s="1152"/>
      <c r="B253" s="1156" t="s">
        <v>352</v>
      </c>
      <c r="C253" s="1159">
        <v>3</v>
      </c>
      <c r="D253" s="1297" t="s">
        <v>407</v>
      </c>
      <c r="E253" s="1160">
        <v>200000</v>
      </c>
      <c r="F253" s="1281">
        <f t="shared" si="1"/>
        <v>600000</v>
      </c>
      <c r="G253" s="1296"/>
    </row>
    <row r="254" spans="1:7" ht="12" customHeight="1" x14ac:dyDescent="0.25">
      <c r="A254" s="1152" t="s">
        <v>1595</v>
      </c>
      <c r="B254" s="1256" t="s">
        <v>471</v>
      </c>
      <c r="C254" s="1159"/>
      <c r="D254" s="1297"/>
      <c r="E254" s="1160"/>
      <c r="F254" s="1281">
        <f t="shared" si="1"/>
        <v>0</v>
      </c>
      <c r="G254" s="1296"/>
    </row>
    <row r="255" spans="1:7" ht="23.25" customHeight="1" x14ac:dyDescent="0.25">
      <c r="A255" s="1152" t="s">
        <v>2398</v>
      </c>
      <c r="B255" s="1209" t="s">
        <v>2399</v>
      </c>
      <c r="C255" s="1159"/>
      <c r="D255" s="1297"/>
      <c r="E255" s="1160"/>
      <c r="F255" s="1281">
        <f t="shared" si="1"/>
        <v>0</v>
      </c>
      <c r="G255" s="1296"/>
    </row>
    <row r="256" spans="1:7" ht="12" customHeight="1" x14ac:dyDescent="0.25">
      <c r="A256" s="1152"/>
      <c r="B256" s="1156" t="s">
        <v>2400</v>
      </c>
      <c r="C256" s="1159">
        <v>1</v>
      </c>
      <c r="D256" s="1297" t="s">
        <v>1939</v>
      </c>
      <c r="E256" s="1160">
        <v>3000000</v>
      </c>
      <c r="F256" s="1281">
        <f t="shared" si="1"/>
        <v>3000000</v>
      </c>
      <c r="G256" s="1296"/>
    </row>
    <row r="257" spans="1:7" ht="12" customHeight="1" x14ac:dyDescent="0.25">
      <c r="A257" s="1152"/>
      <c r="B257" s="1156" t="s">
        <v>2401</v>
      </c>
      <c r="C257" s="1159">
        <v>1</v>
      </c>
      <c r="D257" s="1297" t="s">
        <v>1939</v>
      </c>
      <c r="E257" s="1160">
        <v>3000000</v>
      </c>
      <c r="F257" s="1281">
        <f t="shared" si="1"/>
        <v>3000000</v>
      </c>
      <c r="G257" s="1296"/>
    </row>
    <row r="258" spans="1:7" ht="12" customHeight="1" x14ac:dyDescent="0.25">
      <c r="A258" s="1152"/>
      <c r="B258" s="1156" t="s">
        <v>2402</v>
      </c>
      <c r="C258" s="1159">
        <v>5</v>
      </c>
      <c r="D258" s="1297" t="s">
        <v>229</v>
      </c>
      <c r="E258" s="1160">
        <v>300000</v>
      </c>
      <c r="F258" s="1281">
        <f t="shared" si="1"/>
        <v>1500000</v>
      </c>
      <c r="G258" s="1296"/>
    </row>
    <row r="259" spans="1:7" ht="12" customHeight="1" x14ac:dyDescent="0.25">
      <c r="A259" s="1152"/>
      <c r="B259" s="1156" t="s">
        <v>2403</v>
      </c>
      <c r="C259" s="1159">
        <v>100</v>
      </c>
      <c r="D259" s="1297" t="s">
        <v>92</v>
      </c>
      <c r="E259" s="1160">
        <v>5000</v>
      </c>
      <c r="F259" s="1281">
        <f t="shared" si="1"/>
        <v>500000</v>
      </c>
      <c r="G259" s="1296"/>
    </row>
    <row r="260" spans="1:7" ht="12" customHeight="1" x14ac:dyDescent="0.25">
      <c r="A260" s="1152"/>
      <c r="B260" s="1156" t="s">
        <v>2404</v>
      </c>
      <c r="C260" s="1159">
        <v>5</v>
      </c>
      <c r="D260" s="1297" t="s">
        <v>92</v>
      </c>
      <c r="E260" s="1160">
        <v>75000</v>
      </c>
      <c r="F260" s="1281">
        <f t="shared" si="1"/>
        <v>375000</v>
      </c>
      <c r="G260" s="1296"/>
    </row>
    <row r="261" spans="1:7" ht="12" customHeight="1" x14ac:dyDescent="0.25">
      <c r="A261" s="1152"/>
      <c r="B261" s="1156" t="s">
        <v>2405</v>
      </c>
      <c r="C261" s="1159">
        <v>1</v>
      </c>
      <c r="D261" s="1297" t="s">
        <v>138</v>
      </c>
      <c r="E261" s="1160">
        <v>1500000</v>
      </c>
      <c r="F261" s="1281">
        <f t="shared" si="1"/>
        <v>1500000</v>
      </c>
      <c r="G261" s="1296"/>
    </row>
    <row r="262" spans="1:7" ht="12" customHeight="1" x14ac:dyDescent="0.25">
      <c r="A262" s="1152"/>
      <c r="B262" s="1210"/>
      <c r="C262" s="1298"/>
      <c r="D262" s="1297"/>
      <c r="E262" s="1299"/>
      <c r="F262" s="1281"/>
      <c r="G262" s="1296"/>
    </row>
    <row r="263" spans="1:7" x14ac:dyDescent="0.25">
      <c r="A263" s="1300"/>
      <c r="B263" s="1923" t="s">
        <v>26</v>
      </c>
      <c r="C263" s="1924"/>
      <c r="D263" s="1924"/>
      <c r="E263" s="1925"/>
      <c r="F263" s="1301">
        <f>SUM(F230:F261)</f>
        <v>41555000</v>
      </c>
      <c r="G263" s="1300"/>
    </row>
    <row r="264" spans="1:7" x14ac:dyDescent="0.25">
      <c r="A264" s="1807" t="s">
        <v>549</v>
      </c>
      <c r="B264" s="1807"/>
      <c r="C264" s="1141" t="s">
        <v>27</v>
      </c>
      <c r="D264" s="1808" t="s">
        <v>1429</v>
      </c>
      <c r="E264" s="1808"/>
      <c r="F264" s="1808"/>
      <c r="G264" s="1141"/>
    </row>
    <row r="265" spans="1:7" x14ac:dyDescent="0.25">
      <c r="A265" s="1807" t="s">
        <v>28</v>
      </c>
      <c r="B265" s="1807"/>
      <c r="C265" s="1141"/>
      <c r="D265" s="1908" t="s">
        <v>1777</v>
      </c>
      <c r="E265" s="1908"/>
      <c r="F265" s="1908"/>
      <c r="G265" s="1141"/>
    </row>
    <row r="266" spans="1:7" x14ac:dyDescent="0.25">
      <c r="A266" s="1139"/>
      <c r="B266" s="1140"/>
      <c r="C266" s="1141"/>
      <c r="D266" s="1142"/>
      <c r="E266" s="1164"/>
      <c r="F266" s="1164"/>
      <c r="G266" s="1141"/>
    </row>
    <row r="267" spans="1:7" x14ac:dyDescent="0.25">
      <c r="A267" s="1139"/>
      <c r="B267" s="1140"/>
      <c r="C267" s="1141"/>
      <c r="D267" s="1142"/>
      <c r="E267" s="1164"/>
      <c r="F267" s="1260"/>
      <c r="G267" s="1141"/>
    </row>
    <row r="268" spans="1:7" x14ac:dyDescent="0.25">
      <c r="A268" s="1807"/>
      <c r="B268" s="1807"/>
      <c r="C268" s="1141"/>
      <c r="D268" s="1142"/>
      <c r="E268" s="1909"/>
      <c r="F268" s="1807"/>
      <c r="G268" s="1141"/>
    </row>
    <row r="269" spans="1:7" x14ac:dyDescent="0.25">
      <c r="A269" s="1807" t="s">
        <v>29</v>
      </c>
      <c r="B269" s="1807"/>
      <c r="C269" s="1141"/>
      <c r="D269" s="1807" t="s">
        <v>550</v>
      </c>
      <c r="E269" s="1807"/>
      <c r="F269" s="1807"/>
      <c r="G269" s="1141"/>
    </row>
    <row r="270" spans="1:7" x14ac:dyDescent="0.25">
      <c r="A270" s="1902" t="s">
        <v>0</v>
      </c>
      <c r="B270" s="1902"/>
      <c r="C270" s="1902"/>
      <c r="D270" s="1902"/>
      <c r="E270" s="1902"/>
      <c r="F270" s="1902"/>
      <c r="G270" s="1902"/>
    </row>
    <row r="271" spans="1:7" x14ac:dyDescent="0.25">
      <c r="A271" s="1902" t="s">
        <v>1</v>
      </c>
      <c r="B271" s="1902"/>
      <c r="C271" s="1902"/>
      <c r="D271" s="1902"/>
      <c r="E271" s="1902"/>
      <c r="F271" s="1902"/>
      <c r="G271" s="1902"/>
    </row>
    <row r="272" spans="1:7" x14ac:dyDescent="0.25">
      <c r="A272" s="1902" t="s">
        <v>1769</v>
      </c>
      <c r="B272" s="1902"/>
      <c r="C272" s="1902"/>
      <c r="D272" s="1902"/>
      <c r="E272" s="1902"/>
      <c r="F272" s="1902"/>
      <c r="G272" s="1902"/>
    </row>
    <row r="273" spans="1:7" x14ac:dyDescent="0.25">
      <c r="A273" s="769"/>
      <c r="B273" s="770"/>
      <c r="C273" s="769"/>
      <c r="D273" s="769"/>
      <c r="E273" s="769"/>
      <c r="F273" s="769"/>
      <c r="G273" s="769"/>
    </row>
    <row r="274" spans="1:7" ht="30" x14ac:dyDescent="0.25">
      <c r="A274" s="771" t="s">
        <v>261</v>
      </c>
      <c r="B274" s="772" t="s">
        <v>1042</v>
      </c>
      <c r="C274" s="771"/>
      <c r="D274" s="771"/>
      <c r="E274" s="303" t="s">
        <v>6</v>
      </c>
      <c r="F274" s="303"/>
      <c r="G274" s="665"/>
    </row>
    <row r="275" spans="1:7" s="5" customFormat="1" ht="15" customHeight="1" x14ac:dyDescent="0.25">
      <c r="A275" s="772" t="s">
        <v>262</v>
      </c>
      <c r="B275" s="1903" t="s">
        <v>1041</v>
      </c>
      <c r="C275" s="1903"/>
      <c r="D275" s="772"/>
      <c r="E275" s="773" t="s">
        <v>9</v>
      </c>
      <c r="F275" s="773"/>
      <c r="G275" s="665"/>
    </row>
    <row r="276" spans="1:7" ht="164.25" customHeight="1" x14ac:dyDescent="0.25">
      <c r="A276" s="772" t="s">
        <v>263</v>
      </c>
      <c r="B276" s="772" t="s">
        <v>1866</v>
      </c>
      <c r="C276" s="772"/>
      <c r="D276" s="772"/>
      <c r="E276" s="772"/>
      <c r="F276" s="772"/>
      <c r="G276" s="665"/>
    </row>
    <row r="277" spans="1:7" x14ac:dyDescent="0.25">
      <c r="A277" s="301" t="s">
        <v>60</v>
      </c>
      <c r="B277" s="310" t="s">
        <v>61</v>
      </c>
      <c r="C277" s="301"/>
      <c r="D277" s="301"/>
      <c r="E277" s="301"/>
      <c r="F277" s="301"/>
      <c r="G277" s="223"/>
    </row>
    <row r="278" spans="1:7" x14ac:dyDescent="0.25">
      <c r="A278" s="301" t="s">
        <v>62</v>
      </c>
      <c r="B278" s="310" t="s">
        <v>63</v>
      </c>
      <c r="C278" s="301"/>
      <c r="D278" s="1814"/>
      <c r="E278" s="1814"/>
      <c r="F278" s="301"/>
      <c r="G278" s="665"/>
    </row>
    <row r="279" spans="1:7" ht="45" x14ac:dyDescent="0.25">
      <c r="A279" s="311" t="s">
        <v>1039</v>
      </c>
      <c r="B279" s="311" t="s">
        <v>1038</v>
      </c>
      <c r="C279" s="1815" t="s">
        <v>12</v>
      </c>
      <c r="D279" s="1815"/>
      <c r="E279" s="312" t="s">
        <v>13</v>
      </c>
      <c r="F279" s="311" t="s">
        <v>14</v>
      </c>
      <c r="G279" s="669" t="s">
        <v>266</v>
      </c>
    </row>
    <row r="280" spans="1:7" x14ac:dyDescent="0.25">
      <c r="A280" s="323">
        <v>1</v>
      </c>
      <c r="B280" s="311">
        <v>2</v>
      </c>
      <c r="C280" s="1838">
        <v>3</v>
      </c>
      <c r="D280" s="1839"/>
      <c r="E280" s="670">
        <v>4</v>
      </c>
      <c r="F280" s="321">
        <v>5</v>
      </c>
      <c r="G280" s="671">
        <v>11</v>
      </c>
    </row>
    <row r="281" spans="1:7" x14ac:dyDescent="0.25">
      <c r="A281" s="774" t="s">
        <v>1515</v>
      </c>
      <c r="B281" s="775" t="s">
        <v>287</v>
      </c>
      <c r="C281" s="271"/>
      <c r="D281" s="272"/>
      <c r="E281" s="273"/>
      <c r="F281" s="273"/>
      <c r="G281" s="776"/>
    </row>
    <row r="282" spans="1:7" x14ac:dyDescent="0.25">
      <c r="A282" s="774" t="s">
        <v>1516</v>
      </c>
      <c r="B282" s="777" t="s">
        <v>86</v>
      </c>
      <c r="C282" s="271"/>
      <c r="D282" s="272"/>
      <c r="E282" s="273"/>
      <c r="F282" s="273"/>
      <c r="G282" s="776"/>
    </row>
    <row r="283" spans="1:7" ht="25.5" x14ac:dyDescent="0.25">
      <c r="A283" s="774" t="s">
        <v>1668</v>
      </c>
      <c r="B283" s="778" t="s">
        <v>738</v>
      </c>
      <c r="C283" s="271"/>
      <c r="D283" s="272"/>
      <c r="E283" s="273"/>
      <c r="F283" s="273"/>
      <c r="G283" s="776"/>
    </row>
    <row r="284" spans="1:7" x14ac:dyDescent="0.25">
      <c r="A284" s="774"/>
      <c r="B284" s="779" t="s">
        <v>1867</v>
      </c>
      <c r="C284" s="271">
        <v>4</v>
      </c>
      <c r="D284" s="272" t="s">
        <v>1868</v>
      </c>
      <c r="E284" s="780">
        <v>10000</v>
      </c>
      <c r="F284" s="781">
        <f>C284*E284</f>
        <v>40000</v>
      </c>
      <c r="G284" s="776"/>
    </row>
    <row r="285" spans="1:7" x14ac:dyDescent="0.25">
      <c r="A285" s="774"/>
      <c r="B285" s="779" t="s">
        <v>1869</v>
      </c>
      <c r="C285" s="271">
        <v>3</v>
      </c>
      <c r="D285" s="272" t="s">
        <v>1868</v>
      </c>
      <c r="E285" s="780">
        <v>5000</v>
      </c>
      <c r="F285" s="781">
        <f>C285*E285</f>
        <v>15000</v>
      </c>
      <c r="G285" s="776"/>
    </row>
    <row r="286" spans="1:7" ht="25.5" x14ac:dyDescent="0.25">
      <c r="A286" s="774" t="s">
        <v>1517</v>
      </c>
      <c r="B286" s="778" t="s">
        <v>317</v>
      </c>
      <c r="C286" s="271"/>
      <c r="D286" s="272"/>
      <c r="E286" s="782"/>
      <c r="F286" s="781"/>
      <c r="G286" s="783"/>
    </row>
    <row r="287" spans="1:7" x14ac:dyDescent="0.25">
      <c r="A287" s="270"/>
      <c r="B287" s="778" t="s">
        <v>1467</v>
      </c>
      <c r="C287" s="784"/>
      <c r="D287" s="785"/>
      <c r="E287" s="786"/>
      <c r="F287" s="781"/>
      <c r="G287" s="783"/>
    </row>
    <row r="288" spans="1:7" x14ac:dyDescent="0.25">
      <c r="A288" s="787"/>
      <c r="B288" s="788" t="s">
        <v>1467</v>
      </c>
      <c r="C288" s="271">
        <v>30</v>
      </c>
      <c r="D288" s="272" t="s">
        <v>279</v>
      </c>
      <c r="E288" s="789">
        <v>15000</v>
      </c>
      <c r="F288" s="781">
        <f t="shared" ref="F288:F338" si="2">C288*E288</f>
        <v>450000</v>
      </c>
      <c r="G288" s="783"/>
    </row>
    <row r="289" spans="1:7" x14ac:dyDescent="0.25">
      <c r="A289" s="787"/>
      <c r="B289" s="778" t="s">
        <v>1462</v>
      </c>
      <c r="C289" s="271"/>
      <c r="D289" s="272"/>
      <c r="E289" s="789"/>
      <c r="F289" s="781"/>
      <c r="G289" s="783"/>
    </row>
    <row r="290" spans="1:7" ht="31.5" customHeight="1" x14ac:dyDescent="0.25">
      <c r="A290" s="787"/>
      <c r="B290" s="779" t="s">
        <v>1870</v>
      </c>
      <c r="C290" s="271">
        <v>245</v>
      </c>
      <c r="D290" s="272" t="s">
        <v>279</v>
      </c>
      <c r="E290" s="789">
        <v>15000</v>
      </c>
      <c r="F290" s="781">
        <f t="shared" si="2"/>
        <v>3675000</v>
      </c>
      <c r="G290" s="783"/>
    </row>
    <row r="291" spans="1:7" x14ac:dyDescent="0.25">
      <c r="A291" s="774"/>
      <c r="B291" s="778" t="s">
        <v>1871</v>
      </c>
      <c r="C291" s="271"/>
      <c r="D291" s="272"/>
      <c r="E291" s="789"/>
      <c r="F291" s="781"/>
      <c r="G291" s="783"/>
    </row>
    <row r="292" spans="1:7" ht="25.5" x14ac:dyDescent="0.25">
      <c r="A292" s="790"/>
      <c r="B292" s="779" t="s">
        <v>1872</v>
      </c>
      <c r="C292" s="271">
        <v>47</v>
      </c>
      <c r="D292" s="272" t="s">
        <v>279</v>
      </c>
      <c r="E292" s="789">
        <v>15000</v>
      </c>
      <c r="F292" s="781">
        <f t="shared" si="2"/>
        <v>705000</v>
      </c>
      <c r="G292" s="783"/>
    </row>
    <row r="293" spans="1:7" ht="19.5" customHeight="1" x14ac:dyDescent="0.25">
      <c r="A293" s="787"/>
      <c r="B293" s="778" t="s">
        <v>1873</v>
      </c>
      <c r="C293" s="271"/>
      <c r="D293" s="272"/>
      <c r="E293" s="789"/>
      <c r="F293" s="781"/>
      <c r="G293" s="783"/>
    </row>
    <row r="294" spans="1:7" ht="38.25" x14ac:dyDescent="0.25">
      <c r="A294" s="787"/>
      <c r="B294" s="779" t="s">
        <v>1874</v>
      </c>
      <c r="C294" s="271">
        <v>92</v>
      </c>
      <c r="D294" s="272" t="s">
        <v>279</v>
      </c>
      <c r="E294" s="789">
        <v>15000</v>
      </c>
      <c r="F294" s="781">
        <f t="shared" si="2"/>
        <v>1380000</v>
      </c>
      <c r="G294" s="783"/>
    </row>
    <row r="295" spans="1:7" ht="24" customHeight="1" x14ac:dyDescent="0.25">
      <c r="A295" s="774" t="s">
        <v>1518</v>
      </c>
      <c r="B295" s="775" t="s">
        <v>1459</v>
      </c>
      <c r="C295" s="271"/>
      <c r="D295" s="272"/>
      <c r="E295" s="789"/>
      <c r="F295" s="781"/>
      <c r="G295" s="783"/>
    </row>
    <row r="296" spans="1:7" x14ac:dyDescent="0.25">
      <c r="A296" s="787"/>
      <c r="B296" s="788" t="s">
        <v>836</v>
      </c>
      <c r="C296" s="271">
        <v>3</v>
      </c>
      <c r="D296" s="272" t="s">
        <v>110</v>
      </c>
      <c r="E296" s="789">
        <v>90000</v>
      </c>
      <c r="F296" s="781">
        <f t="shared" si="2"/>
        <v>270000</v>
      </c>
      <c r="G296" s="783"/>
    </row>
    <row r="297" spans="1:7" x14ac:dyDescent="0.25">
      <c r="A297" s="774" t="s">
        <v>1519</v>
      </c>
      <c r="B297" s="778" t="s">
        <v>283</v>
      </c>
      <c r="C297" s="271"/>
      <c r="D297" s="272"/>
      <c r="E297" s="789"/>
      <c r="F297" s="781"/>
      <c r="G297" s="783"/>
    </row>
    <row r="298" spans="1:7" x14ac:dyDescent="0.25">
      <c r="A298" s="281"/>
      <c r="B298" s="779" t="s">
        <v>451</v>
      </c>
      <c r="C298" s="271">
        <v>2</v>
      </c>
      <c r="D298" s="272" t="s">
        <v>95</v>
      </c>
      <c r="E298" s="789">
        <v>50000</v>
      </c>
      <c r="F298" s="781">
        <f t="shared" si="2"/>
        <v>100000</v>
      </c>
      <c r="G298" s="783"/>
    </row>
    <row r="299" spans="1:7" x14ac:dyDescent="0.25">
      <c r="A299" s="281"/>
      <c r="B299" s="779" t="s">
        <v>285</v>
      </c>
      <c r="C299" s="271">
        <v>5</v>
      </c>
      <c r="D299" s="272" t="s">
        <v>1875</v>
      </c>
      <c r="E299" s="789">
        <v>1000</v>
      </c>
      <c r="F299" s="781">
        <f t="shared" si="2"/>
        <v>5000</v>
      </c>
      <c r="G299" s="783"/>
    </row>
    <row r="300" spans="1:7" x14ac:dyDescent="0.25">
      <c r="A300" s="281"/>
      <c r="B300" s="779" t="s">
        <v>299</v>
      </c>
      <c r="C300" s="271">
        <v>1</v>
      </c>
      <c r="D300" s="272" t="s">
        <v>1868</v>
      </c>
      <c r="E300" s="789">
        <v>10000</v>
      </c>
      <c r="F300" s="781">
        <f t="shared" si="2"/>
        <v>10000</v>
      </c>
      <c r="G300" s="783"/>
    </row>
    <row r="301" spans="1:7" x14ac:dyDescent="0.25">
      <c r="A301" s="284"/>
      <c r="B301" s="779" t="s">
        <v>372</v>
      </c>
      <c r="C301" s="271">
        <v>3</v>
      </c>
      <c r="D301" s="272" t="s">
        <v>110</v>
      </c>
      <c r="E301" s="789">
        <v>15000</v>
      </c>
      <c r="F301" s="781">
        <f t="shared" si="2"/>
        <v>45000</v>
      </c>
      <c r="G301" s="783"/>
    </row>
    <row r="302" spans="1:7" x14ac:dyDescent="0.25">
      <c r="A302" s="774" t="s">
        <v>1520</v>
      </c>
      <c r="B302" s="775" t="s">
        <v>304</v>
      </c>
      <c r="C302" s="271"/>
      <c r="D302" s="272"/>
      <c r="E302" s="789"/>
      <c r="F302" s="781"/>
      <c r="G302" s="783"/>
    </row>
    <row r="303" spans="1:7" ht="25.5" x14ac:dyDescent="0.25">
      <c r="A303" s="774" t="s">
        <v>1521</v>
      </c>
      <c r="B303" s="775" t="s">
        <v>1036</v>
      </c>
      <c r="C303" s="271"/>
      <c r="D303" s="272"/>
      <c r="E303" s="789"/>
      <c r="F303" s="781"/>
      <c r="G303" s="783"/>
    </row>
    <row r="304" spans="1:7" x14ac:dyDescent="0.25">
      <c r="A304" s="774"/>
      <c r="B304" s="791" t="s">
        <v>1460</v>
      </c>
      <c r="C304" s="271">
        <v>30</v>
      </c>
      <c r="D304" s="272" t="s">
        <v>419</v>
      </c>
      <c r="E304" s="789">
        <v>300000</v>
      </c>
      <c r="F304" s="781">
        <f t="shared" si="2"/>
        <v>9000000</v>
      </c>
      <c r="G304" s="783"/>
    </row>
    <row r="305" spans="1:7" x14ac:dyDescent="0.25">
      <c r="A305" s="774"/>
      <c r="B305" s="791" t="s">
        <v>1035</v>
      </c>
      <c r="C305" s="271">
        <v>9</v>
      </c>
      <c r="D305" s="272" t="s">
        <v>419</v>
      </c>
      <c r="E305" s="789">
        <v>300000</v>
      </c>
      <c r="F305" s="781">
        <f t="shared" si="2"/>
        <v>2700000</v>
      </c>
      <c r="G305" s="783"/>
    </row>
    <row r="306" spans="1:7" x14ac:dyDescent="0.25">
      <c r="A306" s="790"/>
      <c r="B306" s="791" t="s">
        <v>1034</v>
      </c>
      <c r="C306" s="271">
        <v>1</v>
      </c>
      <c r="D306" s="272" t="s">
        <v>279</v>
      </c>
      <c r="E306" s="789">
        <v>250000</v>
      </c>
      <c r="F306" s="781">
        <f t="shared" si="2"/>
        <v>250000</v>
      </c>
      <c r="G306" s="783"/>
    </row>
    <row r="307" spans="1:7" x14ac:dyDescent="0.25">
      <c r="A307" s="774" t="s">
        <v>1595</v>
      </c>
      <c r="B307" s="778" t="s">
        <v>471</v>
      </c>
      <c r="C307" s="271"/>
      <c r="D307" s="272"/>
      <c r="E307" s="789"/>
      <c r="F307" s="781"/>
      <c r="G307" s="792"/>
    </row>
    <row r="308" spans="1:7" x14ac:dyDescent="0.25">
      <c r="A308" s="774" t="s">
        <v>1596</v>
      </c>
      <c r="B308" s="778" t="s">
        <v>1033</v>
      </c>
      <c r="C308" s="271"/>
      <c r="D308" s="272"/>
      <c r="E308" s="789"/>
      <c r="F308" s="781"/>
      <c r="G308" s="792"/>
    </row>
    <row r="309" spans="1:7" x14ac:dyDescent="0.25">
      <c r="A309" s="793"/>
      <c r="B309" s="788" t="s">
        <v>1031</v>
      </c>
      <c r="C309" s="271">
        <v>1</v>
      </c>
      <c r="D309" s="272" t="s">
        <v>874</v>
      </c>
      <c r="E309" s="789">
        <v>1000000</v>
      </c>
      <c r="F309" s="781">
        <f t="shared" si="2"/>
        <v>1000000</v>
      </c>
      <c r="G309" s="792"/>
    </row>
    <row r="310" spans="1:7" ht="25.5" x14ac:dyDescent="0.25">
      <c r="A310" s="793" t="s">
        <v>1597</v>
      </c>
      <c r="B310" s="778" t="s">
        <v>485</v>
      </c>
      <c r="C310" s="282"/>
      <c r="D310" s="278"/>
      <c r="E310" s="794"/>
      <c r="F310" s="781"/>
      <c r="G310" s="792"/>
    </row>
    <row r="311" spans="1:7" ht="25.5" x14ac:dyDescent="0.25">
      <c r="A311" s="793" t="s">
        <v>1598</v>
      </c>
      <c r="B311" s="778" t="s">
        <v>990</v>
      </c>
      <c r="C311" s="282"/>
      <c r="D311" s="278"/>
      <c r="E311" s="794"/>
      <c r="F311" s="781"/>
      <c r="G311" s="792"/>
    </row>
    <row r="312" spans="1:7" x14ac:dyDescent="0.25">
      <c r="A312" s="795"/>
      <c r="B312" s="778" t="s">
        <v>1030</v>
      </c>
      <c r="C312" s="282"/>
      <c r="D312" s="278"/>
      <c r="E312" s="794"/>
      <c r="F312" s="781"/>
      <c r="G312" s="792"/>
    </row>
    <row r="313" spans="1:7" x14ac:dyDescent="0.25">
      <c r="A313" s="795"/>
      <c r="B313" s="778" t="s">
        <v>809</v>
      </c>
      <c r="C313" s="282"/>
      <c r="D313" s="278"/>
      <c r="E313" s="794"/>
      <c r="F313" s="781"/>
      <c r="G313" s="792"/>
    </row>
    <row r="314" spans="1:7" x14ac:dyDescent="0.25">
      <c r="A314" s="795"/>
      <c r="B314" s="270" t="s">
        <v>1029</v>
      </c>
      <c r="C314" s="282">
        <v>3</v>
      </c>
      <c r="D314" s="278" t="s">
        <v>279</v>
      </c>
      <c r="E314" s="794">
        <v>1000000</v>
      </c>
      <c r="F314" s="781">
        <f t="shared" si="2"/>
        <v>3000000</v>
      </c>
      <c r="G314" s="792"/>
    </row>
    <row r="315" spans="1:7" x14ac:dyDescent="0.25">
      <c r="A315" s="774"/>
      <c r="B315" s="779" t="s">
        <v>1028</v>
      </c>
      <c r="C315" s="784">
        <v>3</v>
      </c>
      <c r="D315" s="785" t="s">
        <v>279</v>
      </c>
      <c r="E315" s="796">
        <v>750000</v>
      </c>
      <c r="F315" s="781">
        <f t="shared" si="2"/>
        <v>2250000</v>
      </c>
      <c r="G315" s="783"/>
    </row>
    <row r="316" spans="1:7" x14ac:dyDescent="0.25">
      <c r="A316" s="774"/>
      <c r="B316" s="779" t="s">
        <v>1027</v>
      </c>
      <c r="C316" s="271">
        <v>3</v>
      </c>
      <c r="D316" s="272" t="s">
        <v>279</v>
      </c>
      <c r="E316" s="789">
        <v>500000</v>
      </c>
      <c r="F316" s="781">
        <f t="shared" si="2"/>
        <v>1500000</v>
      </c>
      <c r="G316" s="783"/>
    </row>
    <row r="317" spans="1:7" x14ac:dyDescent="0.25">
      <c r="A317" s="787"/>
      <c r="B317" s="775" t="s">
        <v>1026</v>
      </c>
      <c r="C317" s="271"/>
      <c r="D317" s="272"/>
      <c r="E317" s="789"/>
      <c r="F317" s="781"/>
      <c r="G317" s="783"/>
    </row>
    <row r="318" spans="1:7" x14ac:dyDescent="0.25">
      <c r="A318" s="787"/>
      <c r="B318" s="788" t="s">
        <v>1461</v>
      </c>
      <c r="C318" s="271">
        <v>3</v>
      </c>
      <c r="D318" s="272" t="s">
        <v>138</v>
      </c>
      <c r="E318" s="789">
        <v>1200000</v>
      </c>
      <c r="F318" s="781">
        <f t="shared" si="2"/>
        <v>3600000</v>
      </c>
      <c r="G318" s="783"/>
    </row>
    <row r="319" spans="1:7" x14ac:dyDescent="0.25">
      <c r="A319" s="787"/>
      <c r="B319" s="775" t="s">
        <v>1024</v>
      </c>
      <c r="C319" s="271"/>
      <c r="D319" s="272"/>
      <c r="E319" s="789"/>
      <c r="F319" s="781"/>
      <c r="G319" s="783"/>
    </row>
    <row r="320" spans="1:7" x14ac:dyDescent="0.25">
      <c r="A320" s="793"/>
      <c r="B320" s="788" t="s">
        <v>1023</v>
      </c>
      <c r="C320" s="271">
        <v>36</v>
      </c>
      <c r="D320" s="272" t="s">
        <v>110</v>
      </c>
      <c r="E320" s="789">
        <v>5000</v>
      </c>
      <c r="F320" s="781">
        <f t="shared" si="2"/>
        <v>180000</v>
      </c>
      <c r="G320" s="783"/>
    </row>
    <row r="321" spans="1:7" ht="25.5" x14ac:dyDescent="0.25">
      <c r="A321" s="787"/>
      <c r="B321" s="788" t="s">
        <v>1022</v>
      </c>
      <c r="C321" s="271">
        <v>9</v>
      </c>
      <c r="D321" s="272" t="s">
        <v>110</v>
      </c>
      <c r="E321" s="789">
        <v>5000</v>
      </c>
      <c r="F321" s="781">
        <f t="shared" si="2"/>
        <v>45000</v>
      </c>
      <c r="G321" s="783"/>
    </row>
    <row r="322" spans="1:7" x14ac:dyDescent="0.25">
      <c r="A322" s="787"/>
      <c r="B322" s="788" t="s">
        <v>1021</v>
      </c>
      <c r="C322" s="271">
        <v>9</v>
      </c>
      <c r="D322" s="272" t="s">
        <v>110</v>
      </c>
      <c r="E322" s="789">
        <v>5000</v>
      </c>
      <c r="F322" s="781">
        <f t="shared" si="2"/>
        <v>45000</v>
      </c>
      <c r="G322" s="783"/>
    </row>
    <row r="323" spans="1:7" ht="25.5" x14ac:dyDescent="0.25">
      <c r="A323" s="787"/>
      <c r="B323" s="797" t="s">
        <v>1020</v>
      </c>
      <c r="C323" s="271"/>
      <c r="D323" s="272"/>
      <c r="E323" s="789"/>
      <c r="F323" s="781"/>
      <c r="G323" s="783"/>
    </row>
    <row r="324" spans="1:7" x14ac:dyDescent="0.25">
      <c r="A324" s="774" t="s">
        <v>1515</v>
      </c>
      <c r="B324" s="798" t="s">
        <v>287</v>
      </c>
      <c r="C324" s="271"/>
      <c r="D324" s="272"/>
      <c r="E324" s="789"/>
      <c r="F324" s="781"/>
      <c r="G324" s="783"/>
    </row>
    <row r="325" spans="1:7" x14ac:dyDescent="0.25">
      <c r="A325" s="799" t="s">
        <v>1516</v>
      </c>
      <c r="B325" s="778" t="s">
        <v>86</v>
      </c>
      <c r="C325" s="271"/>
      <c r="D325" s="272"/>
      <c r="E325" s="789"/>
      <c r="F325" s="781"/>
      <c r="G325" s="783"/>
    </row>
    <row r="326" spans="1:7" ht="25.5" x14ac:dyDescent="0.25">
      <c r="A326" s="787" t="s">
        <v>1517</v>
      </c>
      <c r="B326" s="775" t="s">
        <v>1019</v>
      </c>
      <c r="C326" s="271"/>
      <c r="D326" s="272"/>
      <c r="E326" s="789"/>
      <c r="F326" s="781"/>
      <c r="G326" s="783"/>
    </row>
    <row r="327" spans="1:7" x14ac:dyDescent="0.25">
      <c r="A327" s="787"/>
      <c r="B327" s="788" t="s">
        <v>1462</v>
      </c>
      <c r="C327" s="271">
        <v>15</v>
      </c>
      <c r="D327" s="272" t="s">
        <v>279</v>
      </c>
      <c r="E327" s="789">
        <v>15000</v>
      </c>
      <c r="F327" s="781">
        <f t="shared" si="2"/>
        <v>225000</v>
      </c>
      <c r="G327" s="783"/>
    </row>
    <row r="328" spans="1:7" x14ac:dyDescent="0.25">
      <c r="A328" s="795"/>
      <c r="B328" s="788" t="s">
        <v>679</v>
      </c>
      <c r="C328" s="271">
        <v>15</v>
      </c>
      <c r="D328" s="272" t="s">
        <v>279</v>
      </c>
      <c r="E328" s="789">
        <v>15000</v>
      </c>
      <c r="F328" s="781">
        <f t="shared" si="2"/>
        <v>225000</v>
      </c>
      <c r="G328" s="792"/>
    </row>
    <row r="329" spans="1:7" x14ac:dyDescent="0.25">
      <c r="A329" s="774" t="s">
        <v>1599</v>
      </c>
      <c r="B329" s="775" t="s">
        <v>1018</v>
      </c>
      <c r="C329" s="271"/>
      <c r="D329" s="272"/>
      <c r="E329" s="789"/>
      <c r="F329" s="781"/>
      <c r="G329" s="792"/>
    </row>
    <row r="330" spans="1:7" x14ac:dyDescent="0.25">
      <c r="A330" s="774"/>
      <c r="B330" s="788" t="s">
        <v>1463</v>
      </c>
      <c r="C330" s="271">
        <v>3</v>
      </c>
      <c r="D330" s="272" t="s">
        <v>138</v>
      </c>
      <c r="E330" s="789">
        <v>350000</v>
      </c>
      <c r="F330" s="781">
        <f t="shared" si="2"/>
        <v>1050000</v>
      </c>
      <c r="G330" s="792"/>
    </row>
    <row r="331" spans="1:7" x14ac:dyDescent="0.25">
      <c r="A331" s="774"/>
      <c r="B331" s="788" t="s">
        <v>1017</v>
      </c>
      <c r="C331" s="271">
        <v>3</v>
      </c>
      <c r="D331" s="272" t="s">
        <v>279</v>
      </c>
      <c r="E331" s="789">
        <v>250000</v>
      </c>
      <c r="F331" s="781">
        <f t="shared" si="2"/>
        <v>750000</v>
      </c>
      <c r="G331" s="792"/>
    </row>
    <row r="332" spans="1:7" x14ac:dyDescent="0.25">
      <c r="A332" s="793" t="s">
        <v>1520</v>
      </c>
      <c r="B332" s="775" t="s">
        <v>304</v>
      </c>
      <c r="C332" s="271"/>
      <c r="D332" s="272"/>
      <c r="E332" s="789"/>
      <c r="F332" s="781"/>
      <c r="G332" s="792"/>
    </row>
    <row r="333" spans="1:7" x14ac:dyDescent="0.25">
      <c r="A333" s="793" t="s">
        <v>1516</v>
      </c>
      <c r="B333" s="775" t="s">
        <v>1016</v>
      </c>
      <c r="C333" s="271"/>
      <c r="D333" s="272"/>
      <c r="E333" s="789"/>
      <c r="F333" s="781"/>
      <c r="G333" s="792"/>
    </row>
    <row r="334" spans="1:7" x14ac:dyDescent="0.25">
      <c r="A334" s="800"/>
      <c r="B334" s="788" t="s">
        <v>188</v>
      </c>
      <c r="C334" s="271">
        <v>1</v>
      </c>
      <c r="D334" s="272" t="s">
        <v>473</v>
      </c>
      <c r="E334" s="789">
        <v>300000</v>
      </c>
      <c r="F334" s="781">
        <f t="shared" si="2"/>
        <v>300000</v>
      </c>
      <c r="G334" s="792"/>
    </row>
    <row r="335" spans="1:7" x14ac:dyDescent="0.25">
      <c r="A335" s="801"/>
      <c r="B335" s="788" t="s">
        <v>189</v>
      </c>
      <c r="C335" s="271">
        <v>1</v>
      </c>
      <c r="D335" s="272" t="s">
        <v>473</v>
      </c>
      <c r="E335" s="789">
        <v>250000</v>
      </c>
      <c r="F335" s="781">
        <f t="shared" si="2"/>
        <v>250000</v>
      </c>
      <c r="G335" s="792"/>
    </row>
    <row r="336" spans="1:7" x14ac:dyDescent="0.25">
      <c r="A336" s="793"/>
      <c r="B336" s="788" t="s">
        <v>352</v>
      </c>
      <c r="C336" s="271">
        <v>3</v>
      </c>
      <c r="D336" s="272" t="s">
        <v>473</v>
      </c>
      <c r="E336" s="789">
        <v>200000</v>
      </c>
      <c r="F336" s="781">
        <f t="shared" si="2"/>
        <v>600000</v>
      </c>
      <c r="G336" s="792"/>
    </row>
    <row r="337" spans="1:20" ht="25.5" x14ac:dyDescent="0.25">
      <c r="A337" s="793" t="s">
        <v>1521</v>
      </c>
      <c r="B337" s="778" t="s">
        <v>707</v>
      </c>
      <c r="C337" s="271"/>
      <c r="D337" s="272"/>
      <c r="E337" s="789"/>
      <c r="F337" s="781"/>
      <c r="G337" s="792"/>
    </row>
    <row r="338" spans="1:20" x14ac:dyDescent="0.25">
      <c r="A338" s="774"/>
      <c r="B338" s="276" t="s">
        <v>1464</v>
      </c>
      <c r="C338" s="271">
        <v>3</v>
      </c>
      <c r="D338" s="272" t="s">
        <v>279</v>
      </c>
      <c r="E338" s="789">
        <v>100000</v>
      </c>
      <c r="F338" s="781">
        <f t="shared" si="2"/>
        <v>300000</v>
      </c>
      <c r="G338" s="792"/>
    </row>
    <row r="339" spans="1:20" ht="25.5" x14ac:dyDescent="0.25">
      <c r="A339" s="774" t="s">
        <v>1597</v>
      </c>
      <c r="B339" s="802" t="s">
        <v>485</v>
      </c>
      <c r="C339" s="271"/>
      <c r="D339" s="272"/>
      <c r="E339" s="789"/>
      <c r="F339" s="781"/>
      <c r="G339" s="792"/>
    </row>
    <row r="340" spans="1:20" x14ac:dyDescent="0.25">
      <c r="A340" s="774" t="s">
        <v>1600</v>
      </c>
      <c r="B340" s="276" t="s">
        <v>1465</v>
      </c>
      <c r="C340" s="271">
        <v>3</v>
      </c>
      <c r="D340" s="272" t="s">
        <v>279</v>
      </c>
      <c r="E340" s="803">
        <v>50000</v>
      </c>
      <c r="F340" s="781">
        <f>C340*E340</f>
        <v>150000</v>
      </c>
      <c r="G340" s="792"/>
    </row>
    <row r="341" spans="1:20" x14ac:dyDescent="0.25">
      <c r="A341" s="799"/>
      <c r="B341" s="804"/>
      <c r="C341" s="271"/>
      <c r="D341" s="272"/>
      <c r="E341" s="805"/>
      <c r="F341" s="806"/>
      <c r="G341" s="783"/>
    </row>
    <row r="342" spans="1:20" ht="25.5" x14ac:dyDescent="0.25">
      <c r="A342" s="807"/>
      <c r="B342" s="1904" t="s">
        <v>26</v>
      </c>
      <c r="C342" s="1905"/>
      <c r="D342" s="1905"/>
      <c r="E342" s="1906"/>
      <c r="F342" s="808">
        <f>SUM(F284:F340)</f>
        <v>34115000</v>
      </c>
      <c r="G342" s="809" t="s">
        <v>2570</v>
      </c>
      <c r="K342" s="32"/>
      <c r="T342" s="32">
        <f>F342</f>
        <v>34115000</v>
      </c>
    </row>
    <row r="343" spans="1:20" s="444" customFormat="1" ht="12" x14ac:dyDescent="0.2">
      <c r="A343" s="1762" t="s">
        <v>549</v>
      </c>
      <c r="B343" s="1762"/>
      <c r="C343" s="188" t="s">
        <v>27</v>
      </c>
      <c r="D343" s="1763" t="s">
        <v>1429</v>
      </c>
      <c r="E343" s="1763"/>
      <c r="F343" s="1763"/>
      <c r="G343" s="188"/>
    </row>
    <row r="344" spans="1:20" s="444" customFormat="1" ht="12" x14ac:dyDescent="0.2">
      <c r="A344" s="1762" t="s">
        <v>28</v>
      </c>
      <c r="B344" s="1762"/>
      <c r="C344" s="188"/>
      <c r="D344" s="1764" t="s">
        <v>2834</v>
      </c>
      <c r="E344" s="1764"/>
      <c r="F344" s="1764"/>
      <c r="G344" s="188"/>
    </row>
    <row r="345" spans="1:20" s="444" customFormat="1" ht="12" x14ac:dyDescent="0.2">
      <c r="A345" s="186"/>
      <c r="B345" s="187"/>
      <c r="C345" s="188"/>
      <c r="D345" s="189"/>
      <c r="E345" s="218"/>
      <c r="F345" s="218"/>
      <c r="G345" s="188"/>
    </row>
    <row r="346" spans="1:20" s="444" customFormat="1" ht="12" x14ac:dyDescent="0.2">
      <c r="A346" s="186"/>
      <c r="B346" s="187"/>
      <c r="C346" s="188"/>
      <c r="D346" s="189"/>
      <c r="E346" s="218"/>
      <c r="F346" s="218"/>
      <c r="G346" s="188"/>
    </row>
    <row r="347" spans="1:20" s="444" customFormat="1" ht="12" x14ac:dyDescent="0.2">
      <c r="A347" s="1762"/>
      <c r="B347" s="1762"/>
      <c r="C347" s="188"/>
      <c r="D347" s="189"/>
      <c r="E347" s="1762"/>
      <c r="F347" s="1762"/>
      <c r="G347" s="188"/>
    </row>
    <row r="348" spans="1:20" s="444" customFormat="1" ht="12" x14ac:dyDescent="0.2">
      <c r="A348" s="1762" t="s">
        <v>29</v>
      </c>
      <c r="B348" s="1762"/>
      <c r="C348" s="188"/>
      <c r="D348" s="1762" t="s">
        <v>2993</v>
      </c>
      <c r="E348" s="1762"/>
      <c r="F348" s="1762"/>
      <c r="G348" s="188"/>
    </row>
    <row r="350" spans="1:20" x14ac:dyDescent="0.25">
      <c r="A350" s="1866" t="s">
        <v>0</v>
      </c>
      <c r="B350" s="1866"/>
      <c r="C350" s="1866"/>
      <c r="D350" s="1866"/>
      <c r="E350" s="1866"/>
      <c r="F350" s="1866"/>
      <c r="G350" s="1866"/>
    </row>
    <row r="351" spans="1:20" x14ac:dyDescent="0.25">
      <c r="A351" s="1866" t="s">
        <v>1</v>
      </c>
      <c r="B351" s="1866"/>
      <c r="C351" s="1866"/>
      <c r="D351" s="1866"/>
      <c r="E351" s="1866"/>
      <c r="F351" s="1866"/>
      <c r="G351" s="1866"/>
    </row>
    <row r="352" spans="1:20" x14ac:dyDescent="0.25">
      <c r="A352" s="1866" t="s">
        <v>1769</v>
      </c>
      <c r="B352" s="1866"/>
      <c r="C352" s="1866"/>
      <c r="D352" s="1866"/>
      <c r="E352" s="1866"/>
      <c r="F352" s="1866"/>
      <c r="G352" s="1866"/>
    </row>
    <row r="353" spans="1:7" x14ac:dyDescent="0.25">
      <c r="A353" s="184"/>
      <c r="B353" s="184"/>
      <c r="C353" s="184"/>
      <c r="D353" s="184"/>
      <c r="E353" s="184"/>
      <c r="F353" s="184"/>
      <c r="G353" s="581"/>
    </row>
    <row r="354" spans="1:7" x14ac:dyDescent="0.25">
      <c r="A354" s="263" t="s">
        <v>261</v>
      </c>
      <c r="B354" s="810" t="s">
        <v>958</v>
      </c>
      <c r="C354" s="263"/>
      <c r="D354" s="263"/>
      <c r="E354" s="410"/>
      <c r="F354" s="410"/>
      <c r="G354" s="5"/>
    </row>
    <row r="355" spans="1:7" ht="15" customHeight="1" x14ac:dyDescent="0.25">
      <c r="A355" s="263" t="s">
        <v>262</v>
      </c>
      <c r="B355" s="1901" t="s">
        <v>957</v>
      </c>
      <c r="C355" s="1901"/>
      <c r="D355" s="263"/>
      <c r="E355" s="190" t="s">
        <v>6</v>
      </c>
      <c r="F355" s="190"/>
      <c r="G355" s="5"/>
    </row>
    <row r="356" spans="1:7" ht="25.5" customHeight="1" x14ac:dyDescent="0.25">
      <c r="A356" s="265" t="s">
        <v>263</v>
      </c>
      <c r="B356" s="811" t="s">
        <v>956</v>
      </c>
      <c r="C356" s="811"/>
      <c r="D356" s="265"/>
      <c r="E356" s="558" t="s">
        <v>9</v>
      </c>
      <c r="F356" s="558"/>
      <c r="G356" s="5"/>
    </row>
    <row r="357" spans="1:7" x14ac:dyDescent="0.25">
      <c r="A357" s="226" t="s">
        <v>60</v>
      </c>
      <c r="B357" s="226" t="s">
        <v>61</v>
      </c>
      <c r="C357" s="226"/>
      <c r="D357" s="188"/>
      <c r="E357" s="188"/>
      <c r="F357" s="188"/>
      <c r="G357" s="5"/>
    </row>
    <row r="358" spans="1:7" x14ac:dyDescent="0.25">
      <c r="A358" s="226" t="s">
        <v>62</v>
      </c>
      <c r="B358" s="226" t="s">
        <v>63</v>
      </c>
      <c r="C358" s="226"/>
      <c r="D358" s="1763"/>
      <c r="E358" s="1763"/>
      <c r="F358" s="188"/>
      <c r="G358" s="5"/>
    </row>
    <row r="359" spans="1:7" ht="7.5" customHeight="1" x14ac:dyDescent="0.25">
      <c r="A359" s="187"/>
      <c r="B359" s="187"/>
      <c r="C359" s="187"/>
      <c r="D359" s="187"/>
      <c r="E359" s="187"/>
      <c r="F359" s="187"/>
      <c r="G359" s="5"/>
    </row>
    <row r="360" spans="1:7" ht="24" x14ac:dyDescent="0.25">
      <c r="A360" s="388" t="s">
        <v>265</v>
      </c>
      <c r="B360" s="388" t="s">
        <v>11</v>
      </c>
      <c r="C360" s="1878" t="s">
        <v>12</v>
      </c>
      <c r="D360" s="1878"/>
      <c r="E360" s="707" t="s">
        <v>13</v>
      </c>
      <c r="F360" s="389" t="s">
        <v>14</v>
      </c>
      <c r="G360" s="757" t="s">
        <v>266</v>
      </c>
    </row>
    <row r="361" spans="1:7" x14ac:dyDescent="0.25">
      <c r="A361" s="198">
        <v>1</v>
      </c>
      <c r="B361" s="198">
        <v>2</v>
      </c>
      <c r="C361" s="1767">
        <v>3</v>
      </c>
      <c r="D361" s="1768"/>
      <c r="E361" s="269">
        <v>4</v>
      </c>
      <c r="F361" s="268">
        <v>5</v>
      </c>
      <c r="G361" s="39">
        <v>6</v>
      </c>
    </row>
    <row r="362" spans="1:7" x14ac:dyDescent="0.25">
      <c r="A362" s="391" t="s">
        <v>955</v>
      </c>
      <c r="B362" s="524" t="s">
        <v>746</v>
      </c>
      <c r="C362" s="419"/>
      <c r="D362" s="420"/>
      <c r="E362" s="491"/>
      <c r="F362" s="200"/>
      <c r="G362" s="369"/>
    </row>
    <row r="363" spans="1:7" x14ac:dyDescent="0.25">
      <c r="A363" s="391" t="s">
        <v>954</v>
      </c>
      <c r="B363" s="524" t="s">
        <v>86</v>
      </c>
      <c r="C363" s="419"/>
      <c r="D363" s="420"/>
      <c r="E363" s="491"/>
      <c r="F363" s="200"/>
      <c r="G363" s="369"/>
    </row>
    <row r="364" spans="1:7" ht="24.75" x14ac:dyDescent="0.25">
      <c r="A364" s="391" t="s">
        <v>953</v>
      </c>
      <c r="B364" s="436" t="s">
        <v>317</v>
      </c>
      <c r="C364" s="214"/>
      <c r="D364" s="407"/>
      <c r="E364" s="215"/>
      <c r="F364" s="408"/>
      <c r="G364" s="369"/>
    </row>
    <row r="365" spans="1:7" x14ac:dyDescent="0.25">
      <c r="A365" s="812"/>
      <c r="B365" s="217" t="s">
        <v>1466</v>
      </c>
      <c r="C365" s="205">
        <v>100</v>
      </c>
      <c r="D365" s="206" t="s">
        <v>279</v>
      </c>
      <c r="E365" s="215">
        <v>75000</v>
      </c>
      <c r="F365" s="408">
        <f>C365*E365</f>
        <v>7500000</v>
      </c>
      <c r="G365" s="369"/>
    </row>
    <row r="366" spans="1:7" x14ac:dyDescent="0.25">
      <c r="A366" s="391" t="s">
        <v>952</v>
      </c>
      <c r="B366" s="550" t="s">
        <v>951</v>
      </c>
      <c r="C366" s="205"/>
      <c r="D366" s="206"/>
      <c r="E366" s="215"/>
      <c r="F366" s="408"/>
      <c r="G366" s="369"/>
    </row>
    <row r="367" spans="1:7" x14ac:dyDescent="0.25">
      <c r="A367" s="222"/>
      <c r="B367" s="363" t="s">
        <v>950</v>
      </c>
      <c r="C367" s="205">
        <v>15</v>
      </c>
      <c r="D367" s="206" t="s">
        <v>933</v>
      </c>
      <c r="E367" s="663">
        <v>50000</v>
      </c>
      <c r="F367" s="408">
        <f t="shared" ref="F367:F380" si="3">C367*E367</f>
        <v>750000</v>
      </c>
      <c r="G367" s="369"/>
    </row>
    <row r="368" spans="1:7" x14ac:dyDescent="0.25">
      <c r="A368" s="222"/>
      <c r="B368" s="363" t="s">
        <v>285</v>
      </c>
      <c r="C368" s="205">
        <v>100</v>
      </c>
      <c r="D368" s="206" t="s">
        <v>165</v>
      </c>
      <c r="E368" s="663">
        <v>2000</v>
      </c>
      <c r="F368" s="408">
        <f t="shared" si="3"/>
        <v>200000</v>
      </c>
      <c r="G368" s="369"/>
    </row>
    <row r="369" spans="1:13" x14ac:dyDescent="0.25">
      <c r="A369" s="222"/>
      <c r="B369" s="363" t="s">
        <v>299</v>
      </c>
      <c r="C369" s="205">
        <v>4</v>
      </c>
      <c r="D369" s="206" t="s">
        <v>300</v>
      </c>
      <c r="E369" s="663">
        <v>10000</v>
      </c>
      <c r="F369" s="408">
        <f t="shared" si="3"/>
        <v>40000</v>
      </c>
      <c r="G369" s="369"/>
    </row>
    <row r="370" spans="1:13" x14ac:dyDescent="0.25">
      <c r="A370" s="222"/>
      <c r="B370" s="363" t="s">
        <v>949</v>
      </c>
      <c r="C370" s="205">
        <v>1</v>
      </c>
      <c r="D370" s="206" t="s">
        <v>933</v>
      </c>
      <c r="E370" s="663">
        <v>150000</v>
      </c>
      <c r="F370" s="408">
        <f t="shared" si="3"/>
        <v>150000</v>
      </c>
      <c r="G370" s="369"/>
    </row>
    <row r="371" spans="1:13" x14ac:dyDescent="0.25">
      <c r="A371" s="222"/>
      <c r="B371" s="363" t="s">
        <v>948</v>
      </c>
      <c r="C371" s="205">
        <v>1</v>
      </c>
      <c r="D371" s="206" t="s">
        <v>933</v>
      </c>
      <c r="E371" s="663">
        <v>150000</v>
      </c>
      <c r="F371" s="408">
        <f t="shared" si="3"/>
        <v>150000</v>
      </c>
      <c r="G371" s="369"/>
    </row>
    <row r="372" spans="1:13" x14ac:dyDescent="0.25">
      <c r="A372" s="222"/>
      <c r="B372" s="363" t="s">
        <v>947</v>
      </c>
      <c r="C372" s="205">
        <v>1</v>
      </c>
      <c r="D372" s="206" t="s">
        <v>933</v>
      </c>
      <c r="E372" s="663">
        <v>150000</v>
      </c>
      <c r="F372" s="408">
        <f t="shared" si="3"/>
        <v>150000</v>
      </c>
      <c r="G372" s="369"/>
    </row>
    <row r="373" spans="1:13" x14ac:dyDescent="0.25">
      <c r="A373" s="222"/>
      <c r="B373" s="363" t="s">
        <v>946</v>
      </c>
      <c r="C373" s="205">
        <v>1</v>
      </c>
      <c r="D373" s="206" t="s">
        <v>933</v>
      </c>
      <c r="E373" s="663">
        <v>150000</v>
      </c>
      <c r="F373" s="408">
        <f t="shared" si="3"/>
        <v>150000</v>
      </c>
      <c r="G373" s="369"/>
    </row>
    <row r="374" spans="1:13" x14ac:dyDescent="0.25">
      <c r="A374" s="222"/>
      <c r="B374" s="363" t="s">
        <v>945</v>
      </c>
      <c r="C374" s="205">
        <v>1</v>
      </c>
      <c r="D374" s="206" t="s">
        <v>933</v>
      </c>
      <c r="E374" s="663">
        <v>2750000</v>
      </c>
      <c r="F374" s="408">
        <f t="shared" si="3"/>
        <v>2750000</v>
      </c>
      <c r="G374" s="369"/>
    </row>
    <row r="375" spans="1:13" x14ac:dyDescent="0.25">
      <c r="A375" s="222"/>
      <c r="B375" s="363" t="s">
        <v>1863</v>
      </c>
      <c r="C375" s="205">
        <v>2</v>
      </c>
      <c r="D375" s="206" t="s">
        <v>933</v>
      </c>
      <c r="E375" s="663">
        <v>200000</v>
      </c>
      <c r="F375" s="408">
        <f t="shared" si="3"/>
        <v>400000</v>
      </c>
      <c r="G375" s="369"/>
    </row>
    <row r="376" spans="1:13" x14ac:dyDescent="0.25">
      <c r="A376" s="222"/>
      <c r="B376" s="363" t="s">
        <v>944</v>
      </c>
      <c r="C376" s="205">
        <v>2</v>
      </c>
      <c r="D376" s="206" t="s">
        <v>943</v>
      </c>
      <c r="E376" s="663">
        <v>50000</v>
      </c>
      <c r="F376" s="408">
        <f t="shared" si="3"/>
        <v>100000</v>
      </c>
      <c r="G376" s="369"/>
    </row>
    <row r="377" spans="1:13" x14ac:dyDescent="0.25">
      <c r="A377" s="222"/>
      <c r="B377" s="363" t="s">
        <v>942</v>
      </c>
      <c r="C377" s="205">
        <v>10</v>
      </c>
      <c r="D377" s="206" t="s">
        <v>933</v>
      </c>
      <c r="E377" s="230">
        <v>25000</v>
      </c>
      <c r="F377" s="408">
        <f t="shared" si="3"/>
        <v>250000</v>
      </c>
      <c r="G377" s="4"/>
    </row>
    <row r="378" spans="1:13" x14ac:dyDescent="0.25">
      <c r="A378" s="222"/>
      <c r="B378" s="363" t="s">
        <v>941</v>
      </c>
      <c r="C378" s="205">
        <v>1</v>
      </c>
      <c r="D378" s="206" t="s">
        <v>92</v>
      </c>
      <c r="E378" s="230">
        <v>250000</v>
      </c>
      <c r="F378" s="408">
        <f t="shared" si="3"/>
        <v>250000</v>
      </c>
      <c r="G378" s="4"/>
    </row>
    <row r="379" spans="1:13" x14ac:dyDescent="0.25">
      <c r="A379" s="222"/>
      <c r="B379" s="363" t="s">
        <v>940</v>
      </c>
      <c r="C379" s="205">
        <v>1</v>
      </c>
      <c r="D379" s="206" t="s">
        <v>933</v>
      </c>
      <c r="E379" s="230">
        <v>1100000</v>
      </c>
      <c r="F379" s="408">
        <f t="shared" si="3"/>
        <v>1100000</v>
      </c>
      <c r="G379" s="4"/>
    </row>
    <row r="380" spans="1:13" s="94" customFormat="1" ht="24" customHeight="1" x14ac:dyDescent="0.25">
      <c r="A380" s="40"/>
      <c r="B380" s="629" t="s">
        <v>939</v>
      </c>
      <c r="C380" s="205">
        <v>1</v>
      </c>
      <c r="D380" s="206" t="s">
        <v>178</v>
      </c>
      <c r="E380" s="592">
        <v>3693569</v>
      </c>
      <c r="F380" s="593">
        <f t="shared" si="3"/>
        <v>3693569</v>
      </c>
      <c r="G380" s="41"/>
      <c r="H380" s="1302"/>
    </row>
    <row r="381" spans="1:13" x14ac:dyDescent="0.25">
      <c r="A381" s="1"/>
      <c r="B381" s="813"/>
      <c r="C381" s="662"/>
      <c r="D381" s="662"/>
      <c r="E381" s="237"/>
      <c r="F381" s="408"/>
      <c r="G381" s="4"/>
    </row>
    <row r="382" spans="1:13" x14ac:dyDescent="0.25">
      <c r="A382" s="1"/>
      <c r="B382" s="1907" t="s">
        <v>26</v>
      </c>
      <c r="C382" s="1907"/>
      <c r="D382" s="1907"/>
      <c r="E382" s="1907"/>
      <c r="F382" s="814">
        <f>SUM(F365:F380)</f>
        <v>17633569</v>
      </c>
      <c r="G382" s="4" t="s">
        <v>2565</v>
      </c>
      <c r="M382" s="32">
        <f>F382</f>
        <v>17633569</v>
      </c>
    </row>
    <row r="383" spans="1:13" s="444" customFormat="1" ht="12" x14ac:dyDescent="0.2">
      <c r="A383" s="1762" t="s">
        <v>549</v>
      </c>
      <c r="B383" s="1762"/>
      <c r="C383" s="188" t="s">
        <v>27</v>
      </c>
      <c r="D383" s="1763" t="s">
        <v>1429</v>
      </c>
      <c r="E383" s="1763"/>
      <c r="F383" s="1763"/>
      <c r="G383" s="188"/>
    </row>
    <row r="384" spans="1:13" s="444" customFormat="1" ht="12" x14ac:dyDescent="0.2">
      <c r="A384" s="1762" t="s">
        <v>28</v>
      </c>
      <c r="B384" s="1762"/>
      <c r="C384" s="188"/>
      <c r="D384" s="1764" t="s">
        <v>2834</v>
      </c>
      <c r="E384" s="1764"/>
      <c r="F384" s="1764"/>
      <c r="G384" s="188"/>
    </row>
    <row r="385" spans="1:7" s="444" customFormat="1" ht="12" x14ac:dyDescent="0.2">
      <c r="A385" s="186"/>
      <c r="B385" s="187"/>
      <c r="C385" s="188"/>
      <c r="D385" s="189"/>
      <c r="E385" s="218"/>
      <c r="F385" s="218"/>
      <c r="G385" s="188"/>
    </row>
    <row r="386" spans="1:7" s="444" customFormat="1" ht="12" x14ac:dyDescent="0.2">
      <c r="A386" s="186"/>
      <c r="B386" s="187"/>
      <c r="C386" s="188"/>
      <c r="D386" s="189"/>
      <c r="E386" s="218"/>
      <c r="F386" s="218"/>
      <c r="G386" s="188"/>
    </row>
    <row r="387" spans="1:7" s="444" customFormat="1" ht="12" x14ac:dyDescent="0.2">
      <c r="A387" s="1762"/>
      <c r="B387" s="1762"/>
      <c r="C387" s="188"/>
      <c r="D387" s="189"/>
      <c r="E387" s="1762"/>
      <c r="F387" s="1762"/>
      <c r="G387" s="188"/>
    </row>
    <row r="388" spans="1:7" s="444" customFormat="1" ht="12" x14ac:dyDescent="0.2">
      <c r="A388" s="1762" t="s">
        <v>29</v>
      </c>
      <c r="B388" s="1762"/>
      <c r="C388" s="188"/>
      <c r="D388" s="1762" t="s">
        <v>2993</v>
      </c>
      <c r="E388" s="1762"/>
      <c r="F388" s="1762"/>
      <c r="G388" s="188"/>
    </row>
    <row r="389" spans="1:7" x14ac:dyDescent="0.25">
      <c r="A389" s="1866" t="s">
        <v>0</v>
      </c>
      <c r="B389" s="1866"/>
      <c r="C389" s="1866"/>
      <c r="D389" s="1866"/>
      <c r="E389" s="1866"/>
      <c r="F389" s="1866"/>
      <c r="G389" s="1866"/>
    </row>
    <row r="390" spans="1:7" x14ac:dyDescent="0.25">
      <c r="A390" s="1866" t="s">
        <v>1</v>
      </c>
      <c r="B390" s="1866"/>
      <c r="C390" s="1866"/>
      <c r="D390" s="1866"/>
      <c r="E390" s="1866"/>
      <c r="F390" s="1866"/>
      <c r="G390" s="1866"/>
    </row>
    <row r="391" spans="1:7" x14ac:dyDescent="0.25">
      <c r="A391" s="1866" t="s">
        <v>1769</v>
      </c>
      <c r="B391" s="1866"/>
      <c r="C391" s="1866"/>
      <c r="D391" s="1866"/>
      <c r="E391" s="1866"/>
      <c r="F391" s="1866"/>
      <c r="G391" s="1866"/>
    </row>
    <row r="392" spans="1:7" x14ac:dyDescent="0.25">
      <c r="A392" s="753"/>
      <c r="B392" s="753"/>
      <c r="C392" s="753"/>
      <c r="D392" s="753"/>
      <c r="E392" s="753"/>
      <c r="F392" s="753"/>
      <c r="G392" s="753"/>
    </row>
    <row r="393" spans="1:7" x14ac:dyDescent="0.25">
      <c r="A393" s="815" t="s">
        <v>261</v>
      </c>
      <c r="B393" s="815" t="s">
        <v>968</v>
      </c>
      <c r="C393" s="815"/>
      <c r="D393" s="815"/>
      <c r="E393" s="816"/>
      <c r="F393" s="816"/>
      <c r="G393" s="42"/>
    </row>
    <row r="394" spans="1:7" ht="28.5" customHeight="1" x14ac:dyDescent="0.25">
      <c r="A394" s="815" t="s">
        <v>262</v>
      </c>
      <c r="B394" s="817" t="s">
        <v>967</v>
      </c>
      <c r="C394" s="815"/>
      <c r="D394" s="815"/>
      <c r="E394" s="585" t="s">
        <v>6</v>
      </c>
      <c r="F394" s="585" t="s">
        <v>63</v>
      </c>
      <c r="G394" s="42"/>
    </row>
    <row r="395" spans="1:7" ht="38.25" customHeight="1" x14ac:dyDescent="0.25">
      <c r="A395" s="817" t="s">
        <v>263</v>
      </c>
      <c r="B395" s="817" t="s">
        <v>966</v>
      </c>
      <c r="C395" s="817"/>
      <c r="D395" s="817"/>
      <c r="E395" s="586" t="s">
        <v>515</v>
      </c>
      <c r="F395" s="586" t="s">
        <v>63</v>
      </c>
      <c r="G395" s="42"/>
    </row>
    <row r="396" spans="1:7" x14ac:dyDescent="0.25">
      <c r="A396" s="818" t="s">
        <v>60</v>
      </c>
      <c r="B396" s="818" t="s">
        <v>61</v>
      </c>
      <c r="C396" s="818"/>
      <c r="D396" s="756"/>
      <c r="E396" s="756"/>
      <c r="F396" s="756"/>
      <c r="G396" s="42"/>
    </row>
    <row r="397" spans="1:7" x14ac:dyDescent="0.25">
      <c r="A397" s="818" t="s">
        <v>62</v>
      </c>
      <c r="B397" s="818" t="s">
        <v>63</v>
      </c>
      <c r="C397" s="818"/>
      <c r="D397" s="1895"/>
      <c r="E397" s="1895"/>
      <c r="F397" s="756"/>
      <c r="G397" s="42"/>
    </row>
    <row r="398" spans="1:7" ht="9" customHeight="1" x14ac:dyDescent="0.25">
      <c r="A398" s="187"/>
      <c r="B398" s="187"/>
      <c r="C398" s="187"/>
      <c r="D398" s="187"/>
      <c r="E398" s="187"/>
      <c r="F398" s="187"/>
    </row>
    <row r="399" spans="1:7" ht="24" x14ac:dyDescent="0.25">
      <c r="A399" s="388" t="s">
        <v>265</v>
      </c>
      <c r="B399" s="388" t="s">
        <v>11</v>
      </c>
      <c r="C399" s="1878" t="s">
        <v>12</v>
      </c>
      <c r="D399" s="1878"/>
      <c r="E399" s="707" t="s">
        <v>13</v>
      </c>
      <c r="F399" s="389" t="s">
        <v>14</v>
      </c>
      <c r="G399" s="819" t="s">
        <v>266</v>
      </c>
    </row>
    <row r="400" spans="1:7" x14ac:dyDescent="0.25">
      <c r="A400" s="198">
        <v>1</v>
      </c>
      <c r="B400" s="198">
        <v>2</v>
      </c>
      <c r="C400" s="1767">
        <v>3</v>
      </c>
      <c r="D400" s="1768"/>
      <c r="E400" s="269">
        <v>4</v>
      </c>
      <c r="F400" s="268">
        <v>5</v>
      </c>
      <c r="G400" s="35">
        <v>6</v>
      </c>
    </row>
    <row r="401" spans="1:13" x14ac:dyDescent="0.25">
      <c r="A401" s="212"/>
      <c r="B401" s="524" t="s">
        <v>965</v>
      </c>
      <c r="C401" s="419"/>
      <c r="D401" s="420"/>
      <c r="E401" s="201"/>
      <c r="F401" s="200"/>
      <c r="G401" s="222"/>
    </row>
    <row r="402" spans="1:13" x14ac:dyDescent="0.25">
      <c r="A402" s="391" t="s">
        <v>955</v>
      </c>
      <c r="B402" s="524" t="s">
        <v>746</v>
      </c>
      <c r="C402" s="419"/>
      <c r="D402" s="420"/>
      <c r="E402" s="201"/>
      <c r="F402" s="200"/>
      <c r="G402" s="222"/>
    </row>
    <row r="403" spans="1:13" x14ac:dyDescent="0.25">
      <c r="A403" s="222" t="s">
        <v>954</v>
      </c>
      <c r="B403" s="524" t="s">
        <v>86</v>
      </c>
      <c r="C403" s="214"/>
      <c r="D403" s="407"/>
      <c r="E403" s="215"/>
      <c r="F403" s="408"/>
      <c r="G403" s="222"/>
    </row>
    <row r="404" spans="1:13" x14ac:dyDescent="0.25">
      <c r="A404" s="222" t="s">
        <v>952</v>
      </c>
      <c r="B404" s="550" t="s">
        <v>951</v>
      </c>
      <c r="C404" s="214"/>
      <c r="D404" s="407"/>
      <c r="E404" s="215"/>
      <c r="F404" s="408"/>
      <c r="G404" s="222"/>
    </row>
    <row r="405" spans="1:13" ht="24.75" x14ac:dyDescent="0.25">
      <c r="A405" s="217"/>
      <c r="B405" s="213" t="s">
        <v>964</v>
      </c>
      <c r="C405" s="205">
        <v>46</v>
      </c>
      <c r="D405" s="206" t="s">
        <v>933</v>
      </c>
      <c r="E405" s="820">
        <v>50000</v>
      </c>
      <c r="F405" s="820">
        <f>C405*E405</f>
        <v>2300000</v>
      </c>
      <c r="G405" s="222"/>
    </row>
    <row r="406" spans="1:13" x14ac:dyDescent="0.25">
      <c r="A406" s="217"/>
      <c r="B406" s="213" t="s">
        <v>963</v>
      </c>
      <c r="C406" s="205">
        <v>12</v>
      </c>
      <c r="D406" s="206" t="s">
        <v>933</v>
      </c>
      <c r="E406" s="820">
        <v>50000</v>
      </c>
      <c r="F406" s="820">
        <f>C406*E406</f>
        <v>600000</v>
      </c>
      <c r="G406" s="222"/>
    </row>
    <row r="407" spans="1:13" x14ac:dyDescent="0.25">
      <c r="A407" s="217"/>
      <c r="B407" s="217" t="s">
        <v>962</v>
      </c>
      <c r="C407" s="205">
        <v>2</v>
      </c>
      <c r="D407" s="206" t="s">
        <v>933</v>
      </c>
      <c r="E407" s="820">
        <v>500000</v>
      </c>
      <c r="F407" s="820">
        <f t="shared" ref="F407:F412" si="4">C407*E407</f>
        <v>1000000</v>
      </c>
      <c r="G407" s="222"/>
    </row>
    <row r="408" spans="1:13" x14ac:dyDescent="0.25">
      <c r="A408" s="217"/>
      <c r="B408" s="217" t="s">
        <v>961</v>
      </c>
      <c r="C408" s="205">
        <v>2</v>
      </c>
      <c r="D408" s="206" t="s">
        <v>933</v>
      </c>
      <c r="E408" s="820">
        <v>250000</v>
      </c>
      <c r="F408" s="820">
        <f t="shared" si="4"/>
        <v>500000</v>
      </c>
      <c r="G408" s="222"/>
    </row>
    <row r="409" spans="1:13" x14ac:dyDescent="0.25">
      <c r="A409" s="217"/>
      <c r="B409" s="217" t="s">
        <v>960</v>
      </c>
      <c r="C409" s="205">
        <v>2</v>
      </c>
      <c r="D409" s="206" t="s">
        <v>933</v>
      </c>
      <c r="E409" s="820">
        <v>250000</v>
      </c>
      <c r="F409" s="820">
        <f t="shared" si="4"/>
        <v>500000</v>
      </c>
      <c r="G409" s="222"/>
    </row>
    <row r="410" spans="1:13" x14ac:dyDescent="0.25">
      <c r="A410" s="217"/>
      <c r="B410" s="217" t="s">
        <v>1864</v>
      </c>
      <c r="C410" s="205">
        <v>1</v>
      </c>
      <c r="D410" s="206" t="s">
        <v>933</v>
      </c>
      <c r="E410" s="820">
        <v>800000</v>
      </c>
      <c r="F410" s="820">
        <f t="shared" si="4"/>
        <v>800000</v>
      </c>
      <c r="G410" s="222"/>
    </row>
    <row r="411" spans="1:13" x14ac:dyDescent="0.25">
      <c r="A411" s="217"/>
      <c r="B411" s="217" t="s">
        <v>1865</v>
      </c>
      <c r="C411" s="205">
        <v>1</v>
      </c>
      <c r="D411" s="206" t="s">
        <v>933</v>
      </c>
      <c r="E411" s="820">
        <v>800000</v>
      </c>
      <c r="F411" s="820">
        <f t="shared" si="4"/>
        <v>800000</v>
      </c>
      <c r="G411" s="222"/>
    </row>
    <row r="412" spans="1:13" x14ac:dyDescent="0.25">
      <c r="A412" s="217"/>
      <c r="B412" s="217" t="s">
        <v>959</v>
      </c>
      <c r="C412" s="214">
        <v>2</v>
      </c>
      <c r="D412" s="244" t="s">
        <v>933</v>
      </c>
      <c r="E412" s="231">
        <v>100000</v>
      </c>
      <c r="F412" s="820">
        <f t="shared" si="4"/>
        <v>200000</v>
      </c>
      <c r="G412" s="222"/>
    </row>
    <row r="413" spans="1:13" x14ac:dyDescent="0.25">
      <c r="A413" s="217"/>
      <c r="B413" s="217"/>
      <c r="C413" s="208"/>
      <c r="D413" s="821"/>
      <c r="E413" s="822"/>
      <c r="F413" s="231"/>
      <c r="G413" s="222"/>
    </row>
    <row r="414" spans="1:13" x14ac:dyDescent="0.25">
      <c r="A414" s="217"/>
      <c r="B414" s="1917" t="s">
        <v>26</v>
      </c>
      <c r="C414" s="1918"/>
      <c r="D414" s="1918"/>
      <c r="E414" s="1918"/>
      <c r="F414" s="584">
        <f>SUM(F405:F412)</f>
        <v>6700000</v>
      </c>
      <c r="G414" s="222" t="s">
        <v>2565</v>
      </c>
      <c r="M414" s="32">
        <f>F414</f>
        <v>6700000</v>
      </c>
    </row>
    <row r="415" spans="1:13" s="444" customFormat="1" ht="12" x14ac:dyDescent="0.2">
      <c r="A415" s="1762" t="s">
        <v>549</v>
      </c>
      <c r="B415" s="1762"/>
      <c r="C415" s="188" t="s">
        <v>27</v>
      </c>
      <c r="D415" s="1763" t="s">
        <v>1429</v>
      </c>
      <c r="E415" s="1763"/>
      <c r="F415" s="1763"/>
      <c r="G415" s="188"/>
    </row>
    <row r="416" spans="1:13" s="444" customFormat="1" ht="12" x14ac:dyDescent="0.2">
      <c r="A416" s="1762" t="s">
        <v>28</v>
      </c>
      <c r="B416" s="1762"/>
      <c r="C416" s="188"/>
      <c r="D416" s="1764" t="s">
        <v>2834</v>
      </c>
      <c r="E416" s="1764"/>
      <c r="F416" s="1764"/>
      <c r="G416" s="188"/>
    </row>
    <row r="417" spans="1:7" s="444" customFormat="1" ht="12" x14ac:dyDescent="0.2">
      <c r="A417" s="186"/>
      <c r="B417" s="187"/>
      <c r="C417" s="188"/>
      <c r="D417" s="189"/>
      <c r="E417" s="218"/>
      <c r="F417" s="218"/>
      <c r="G417" s="188"/>
    </row>
    <row r="418" spans="1:7" s="444" customFormat="1" ht="12" x14ac:dyDescent="0.2">
      <c r="A418" s="186"/>
      <c r="B418" s="187"/>
      <c r="C418" s="188"/>
      <c r="D418" s="189"/>
      <c r="E418" s="218"/>
      <c r="F418" s="218"/>
      <c r="G418" s="188"/>
    </row>
    <row r="419" spans="1:7" s="444" customFormat="1" ht="12" x14ac:dyDescent="0.2">
      <c r="A419" s="1762"/>
      <c r="B419" s="1762"/>
      <c r="C419" s="188"/>
      <c r="D419" s="189"/>
      <c r="E419" s="1762"/>
      <c r="F419" s="1762"/>
      <c r="G419" s="188"/>
    </row>
    <row r="420" spans="1:7" s="444" customFormat="1" ht="12" x14ac:dyDescent="0.2">
      <c r="A420" s="1762" t="s">
        <v>29</v>
      </c>
      <c r="B420" s="1762"/>
      <c r="C420" s="188"/>
      <c r="D420" s="1762" t="s">
        <v>2993</v>
      </c>
      <c r="E420" s="1762"/>
      <c r="F420" s="1762"/>
      <c r="G420" s="188"/>
    </row>
    <row r="421" spans="1:7" x14ac:dyDescent="0.25">
      <c r="A421" s="1919" t="s">
        <v>0</v>
      </c>
      <c r="B421" s="1919"/>
      <c r="C421" s="1919"/>
      <c r="D421" s="1919"/>
      <c r="E421" s="1919"/>
      <c r="F421" s="1919"/>
      <c r="G421" s="1919"/>
    </row>
    <row r="422" spans="1:7" x14ac:dyDescent="0.25">
      <c r="A422" s="1919" t="s">
        <v>1</v>
      </c>
      <c r="B422" s="1919"/>
      <c r="C422" s="1919"/>
      <c r="D422" s="1919"/>
      <c r="E422" s="1919"/>
      <c r="F422" s="1919"/>
      <c r="G422" s="1919"/>
    </row>
    <row r="423" spans="1:7" x14ac:dyDescent="0.25">
      <c r="A423" s="1919" t="s">
        <v>1769</v>
      </c>
      <c r="B423" s="1919"/>
      <c r="C423" s="1919"/>
      <c r="D423" s="1919"/>
      <c r="E423" s="1919"/>
      <c r="F423" s="1919"/>
      <c r="G423" s="1919"/>
    </row>
    <row r="424" spans="1:7" x14ac:dyDescent="0.25">
      <c r="A424" s="823"/>
      <c r="B424" s="823"/>
      <c r="C424" s="823"/>
      <c r="D424" s="823"/>
      <c r="E424" s="823"/>
      <c r="F424" s="823"/>
      <c r="G424" s="824"/>
    </row>
    <row r="425" spans="1:7" x14ac:dyDescent="0.25">
      <c r="A425" s="771" t="s">
        <v>261</v>
      </c>
      <c r="B425" s="771" t="s">
        <v>968</v>
      </c>
      <c r="C425" s="771"/>
      <c r="D425" s="771"/>
      <c r="E425" s="825"/>
      <c r="F425" s="825"/>
      <c r="G425" s="826"/>
    </row>
    <row r="426" spans="1:7" x14ac:dyDescent="0.25">
      <c r="A426" s="771" t="s">
        <v>262</v>
      </c>
      <c r="B426" s="771" t="s">
        <v>967</v>
      </c>
      <c r="C426" s="771"/>
      <c r="D426" s="771"/>
      <c r="E426" s="219" t="s">
        <v>6</v>
      </c>
      <c r="F426" s="219" t="s">
        <v>63</v>
      </c>
      <c r="G426" s="826"/>
    </row>
    <row r="427" spans="1:7" ht="49.5" customHeight="1" x14ac:dyDescent="0.25">
      <c r="A427" s="771" t="s">
        <v>263</v>
      </c>
      <c r="B427" s="827" t="s">
        <v>1944</v>
      </c>
      <c r="C427" s="827"/>
      <c r="D427" s="771"/>
      <c r="E427" s="666" t="s">
        <v>515</v>
      </c>
      <c r="F427" s="666" t="s">
        <v>63</v>
      </c>
      <c r="G427" s="826"/>
    </row>
    <row r="428" spans="1:7" x14ac:dyDescent="0.25">
      <c r="A428" s="301" t="s">
        <v>60</v>
      </c>
      <c r="B428" s="301" t="s">
        <v>61</v>
      </c>
      <c r="C428" s="301"/>
      <c r="D428" s="301"/>
      <c r="E428" s="301"/>
      <c r="F428" s="301"/>
      <c r="G428" s="828"/>
    </row>
    <row r="429" spans="1:7" x14ac:dyDescent="0.25">
      <c r="A429" s="301" t="s">
        <v>62</v>
      </c>
      <c r="B429" s="301" t="s">
        <v>63</v>
      </c>
      <c r="C429" s="301"/>
      <c r="D429" s="1814"/>
      <c r="E429" s="1814"/>
      <c r="F429" s="301"/>
      <c r="G429" s="828"/>
    </row>
    <row r="430" spans="1:7" ht="42.75" x14ac:dyDescent="0.25">
      <c r="A430" s="829" t="s">
        <v>265</v>
      </c>
      <c r="B430" s="829" t="s">
        <v>11</v>
      </c>
      <c r="C430" s="1894" t="s">
        <v>12</v>
      </c>
      <c r="D430" s="1894"/>
      <c r="E430" s="830" t="s">
        <v>13</v>
      </c>
      <c r="F430" s="831" t="s">
        <v>14</v>
      </c>
      <c r="G430" s="832" t="s">
        <v>266</v>
      </c>
    </row>
    <row r="431" spans="1:7" x14ac:dyDescent="0.25">
      <c r="A431" s="311">
        <v>1</v>
      </c>
      <c r="B431" s="311">
        <v>2</v>
      </c>
      <c r="C431" s="1816">
        <v>3</v>
      </c>
      <c r="D431" s="1817"/>
      <c r="E431" s="315">
        <v>4</v>
      </c>
      <c r="F431" s="313">
        <v>5</v>
      </c>
      <c r="G431" s="833">
        <v>6</v>
      </c>
    </row>
    <row r="432" spans="1:7" x14ac:dyDescent="0.25">
      <c r="A432" s="212"/>
      <c r="B432" s="524" t="s">
        <v>965</v>
      </c>
      <c r="C432" s="419"/>
      <c r="D432" s="420"/>
      <c r="E432" s="201"/>
      <c r="F432" s="340"/>
      <c r="G432" s="343"/>
    </row>
    <row r="433" spans="1:21" x14ac:dyDescent="0.25">
      <c r="A433" s="391" t="s">
        <v>955</v>
      </c>
      <c r="B433" s="524" t="s">
        <v>746</v>
      </c>
      <c r="C433" s="419"/>
      <c r="D433" s="420"/>
      <c r="E433" s="201"/>
      <c r="F433" s="340"/>
      <c r="G433" s="343"/>
    </row>
    <row r="434" spans="1:21" x14ac:dyDescent="0.25">
      <c r="A434" s="222" t="s">
        <v>954</v>
      </c>
      <c r="B434" s="524" t="s">
        <v>86</v>
      </c>
      <c r="C434" s="214"/>
      <c r="D434" s="407"/>
      <c r="E434" s="215"/>
      <c r="F434" s="702"/>
      <c r="G434" s="343"/>
    </row>
    <row r="435" spans="1:21" x14ac:dyDescent="0.25">
      <c r="A435" s="222" t="s">
        <v>953</v>
      </c>
      <c r="B435" s="524" t="s">
        <v>756</v>
      </c>
      <c r="C435" s="214"/>
      <c r="D435" s="407"/>
      <c r="E435" s="215"/>
      <c r="F435" s="702"/>
      <c r="G435" s="343"/>
    </row>
    <row r="436" spans="1:21" x14ac:dyDescent="0.25">
      <c r="A436" s="222"/>
      <c r="B436" s="391" t="s">
        <v>1945</v>
      </c>
      <c r="C436" s="205">
        <f>80*2</f>
        <v>160</v>
      </c>
      <c r="D436" s="206" t="s">
        <v>407</v>
      </c>
      <c r="E436" s="215">
        <v>75000</v>
      </c>
      <c r="F436" s="834">
        <f>C436*E436</f>
        <v>12000000</v>
      </c>
      <c r="G436" s="343"/>
    </row>
    <row r="437" spans="1:21" x14ac:dyDescent="0.25">
      <c r="A437" s="222" t="s">
        <v>952</v>
      </c>
      <c r="B437" s="550" t="s">
        <v>951</v>
      </c>
      <c r="C437" s="214"/>
      <c r="D437" s="407"/>
      <c r="E437" s="215"/>
      <c r="F437" s="834"/>
      <c r="G437" s="343"/>
    </row>
    <row r="438" spans="1:21" x14ac:dyDescent="0.25">
      <c r="A438" s="217"/>
      <c r="B438" s="217" t="s">
        <v>1946</v>
      </c>
      <c r="C438" s="205">
        <v>2</v>
      </c>
      <c r="D438" s="206" t="s">
        <v>933</v>
      </c>
      <c r="E438" s="820">
        <v>7000000</v>
      </c>
      <c r="F438" s="834">
        <f>C438*E438</f>
        <v>14000000</v>
      </c>
      <c r="G438" s="343"/>
    </row>
    <row r="439" spans="1:21" x14ac:dyDescent="0.25">
      <c r="A439" s="222" t="s">
        <v>1947</v>
      </c>
      <c r="B439" s="550" t="s">
        <v>471</v>
      </c>
      <c r="C439" s="210"/>
      <c r="D439" s="211"/>
      <c r="E439" s="835"/>
      <c r="F439" s="834"/>
      <c r="G439" s="343"/>
    </row>
    <row r="440" spans="1:21" ht="24.75" x14ac:dyDescent="0.25">
      <c r="A440" s="222" t="s">
        <v>1948</v>
      </c>
      <c r="B440" s="436" t="s">
        <v>1529</v>
      </c>
      <c r="C440" s="210"/>
      <c r="D440" s="211"/>
      <c r="E440" s="835"/>
      <c r="F440" s="834"/>
      <c r="G440" s="343"/>
    </row>
    <row r="441" spans="1:21" x14ac:dyDescent="0.25">
      <c r="A441" s="217"/>
      <c r="B441" s="217" t="s">
        <v>1949</v>
      </c>
      <c r="C441" s="210">
        <v>2</v>
      </c>
      <c r="D441" s="211" t="s">
        <v>229</v>
      </c>
      <c r="E441" s="835">
        <v>400000</v>
      </c>
      <c r="F441" s="834">
        <f>C441*E441</f>
        <v>800000</v>
      </c>
      <c r="G441" s="343"/>
    </row>
    <row r="442" spans="1:21" x14ac:dyDescent="0.25">
      <c r="A442" s="217"/>
      <c r="B442" s="217" t="s">
        <v>1950</v>
      </c>
      <c r="C442" s="210">
        <v>3</v>
      </c>
      <c r="D442" s="211" t="s">
        <v>229</v>
      </c>
      <c r="E442" s="835">
        <v>100000</v>
      </c>
      <c r="F442" s="834">
        <f>C442*E442</f>
        <v>300000</v>
      </c>
      <c r="G442" s="343"/>
    </row>
    <row r="443" spans="1:21" x14ac:dyDescent="0.25">
      <c r="A443" s="217"/>
      <c r="B443" s="217"/>
      <c r="C443" s="210"/>
      <c r="D443" s="211"/>
      <c r="E443" s="835"/>
      <c r="F443" s="834"/>
      <c r="G443" s="343"/>
    </row>
    <row r="444" spans="1:21" ht="21.75" customHeight="1" x14ac:dyDescent="0.25">
      <c r="A444" s="329"/>
      <c r="B444" s="1899" t="s">
        <v>26</v>
      </c>
      <c r="C444" s="1900"/>
      <c r="D444" s="1900"/>
      <c r="E444" s="1900"/>
      <c r="F444" s="836">
        <f>SUM(F436:F442)</f>
        <v>27100000</v>
      </c>
      <c r="G444" s="461" t="s">
        <v>2571</v>
      </c>
      <c r="L444" s="32"/>
      <c r="U444" s="32">
        <f>F444</f>
        <v>27100000</v>
      </c>
    </row>
    <row r="445" spans="1:21" s="444" customFormat="1" ht="12" x14ac:dyDescent="0.2">
      <c r="A445" s="1762" t="s">
        <v>549</v>
      </c>
      <c r="B445" s="1762"/>
      <c r="C445" s="188" t="s">
        <v>27</v>
      </c>
      <c r="D445" s="1763" t="s">
        <v>1429</v>
      </c>
      <c r="E445" s="1763"/>
      <c r="F445" s="1763"/>
      <c r="G445" s="188"/>
    </row>
    <row r="446" spans="1:21" s="444" customFormat="1" ht="12" x14ac:dyDescent="0.2">
      <c r="A446" s="1762" t="s">
        <v>28</v>
      </c>
      <c r="B446" s="1762"/>
      <c r="C446" s="188"/>
      <c r="D446" s="1764" t="s">
        <v>2834</v>
      </c>
      <c r="E446" s="1764"/>
      <c r="F446" s="1764"/>
      <c r="G446" s="188"/>
    </row>
    <row r="447" spans="1:21" s="444" customFormat="1" ht="12" x14ac:dyDescent="0.2">
      <c r="A447" s="186"/>
      <c r="B447" s="187"/>
      <c r="C447" s="188"/>
      <c r="D447" s="189"/>
      <c r="E447" s="218"/>
      <c r="F447" s="218"/>
      <c r="G447" s="188"/>
    </row>
    <row r="448" spans="1:21" s="444" customFormat="1" ht="12" x14ac:dyDescent="0.2">
      <c r="A448" s="186"/>
      <c r="B448" s="187"/>
      <c r="C448" s="188"/>
      <c r="D448" s="189"/>
      <c r="E448" s="218"/>
      <c r="F448" s="218"/>
      <c r="G448" s="188"/>
    </row>
    <row r="449" spans="1:7" s="444" customFormat="1" ht="12" x14ac:dyDescent="0.2">
      <c r="A449" s="1762"/>
      <c r="B449" s="1762"/>
      <c r="C449" s="188"/>
      <c r="D449" s="189"/>
      <c r="E449" s="1762"/>
      <c r="F449" s="1762"/>
      <c r="G449" s="188"/>
    </row>
    <row r="450" spans="1:7" s="444" customFormat="1" ht="12" x14ac:dyDescent="0.2">
      <c r="A450" s="1762" t="s">
        <v>29</v>
      </c>
      <c r="B450" s="1762"/>
      <c r="C450" s="188"/>
      <c r="D450" s="1762" t="s">
        <v>2993</v>
      </c>
      <c r="E450" s="1762"/>
      <c r="F450" s="1762"/>
      <c r="G450" s="188"/>
    </row>
    <row r="451" spans="1:7" x14ac:dyDescent="0.25">
      <c r="A451" s="1765" t="s">
        <v>0</v>
      </c>
      <c r="B451" s="1765"/>
      <c r="C451" s="1765"/>
      <c r="D451" s="1765"/>
      <c r="E451" s="1765"/>
      <c r="F451" s="1765"/>
      <c r="G451" s="581"/>
    </row>
    <row r="452" spans="1:7" x14ac:dyDescent="0.25">
      <c r="A452" s="1765" t="s">
        <v>1</v>
      </c>
      <c r="B452" s="1765"/>
      <c r="C452" s="1765"/>
      <c r="D452" s="1765"/>
      <c r="E452" s="1765"/>
      <c r="F452" s="1765"/>
      <c r="G452" s="581"/>
    </row>
    <row r="453" spans="1:7" x14ac:dyDescent="0.25">
      <c r="A453" s="1765" t="s">
        <v>1769</v>
      </c>
      <c r="B453" s="1765"/>
      <c r="C453" s="1765"/>
      <c r="D453" s="1765"/>
      <c r="E453" s="1765"/>
      <c r="F453" s="1765"/>
      <c r="G453" s="581"/>
    </row>
    <row r="454" spans="1:7" x14ac:dyDescent="0.25">
      <c r="A454" s="184"/>
      <c r="B454" s="184"/>
      <c r="C454" s="184"/>
      <c r="D454" s="184"/>
      <c r="E454" s="185"/>
      <c r="F454" s="185"/>
      <c r="G454" s="430"/>
    </row>
    <row r="455" spans="1:7" x14ac:dyDescent="0.25">
      <c r="A455" s="185" t="s">
        <v>491</v>
      </c>
      <c r="B455" s="185" t="s">
        <v>958</v>
      </c>
      <c r="C455" s="185"/>
      <c r="D455" s="185"/>
      <c r="E455" s="190" t="s">
        <v>6</v>
      </c>
      <c r="F455" s="190"/>
      <c r="G455" s="837"/>
    </row>
    <row r="456" spans="1:7" x14ac:dyDescent="0.25">
      <c r="A456" s="838" t="s">
        <v>492</v>
      </c>
      <c r="B456" s="530" t="s">
        <v>957</v>
      </c>
      <c r="C456" s="185"/>
      <c r="D456" s="185"/>
      <c r="E456" s="558" t="s">
        <v>969</v>
      </c>
      <c r="F456" s="185"/>
      <c r="G456" s="430"/>
    </row>
    <row r="457" spans="1:7" ht="24" x14ac:dyDescent="0.25">
      <c r="A457" s="838" t="s">
        <v>493</v>
      </c>
      <c r="B457" s="530" t="s">
        <v>970</v>
      </c>
      <c r="C457" s="185"/>
      <c r="D457" s="185"/>
      <c r="E457" s="185"/>
      <c r="F457" s="185"/>
      <c r="G457" s="430"/>
    </row>
    <row r="458" spans="1:7" x14ac:dyDescent="0.25">
      <c r="A458" s="185" t="s">
        <v>971</v>
      </c>
      <c r="B458" s="185" t="s">
        <v>61</v>
      </c>
      <c r="C458" s="185"/>
      <c r="D458" s="185"/>
      <c r="E458" s="185"/>
      <c r="F458" s="185"/>
      <c r="G458" s="430"/>
    </row>
    <row r="459" spans="1:7" x14ac:dyDescent="0.25">
      <c r="A459" s="1893" t="s">
        <v>503</v>
      </c>
      <c r="B459" s="1893"/>
      <c r="C459" s="185"/>
      <c r="D459" s="385"/>
      <c r="E459" s="559"/>
      <c r="F459" s="185"/>
      <c r="G459" s="430"/>
    </row>
    <row r="460" spans="1:7" ht="24" x14ac:dyDescent="0.25">
      <c r="A460" s="198" t="s">
        <v>30</v>
      </c>
      <c r="B460" s="198" t="s">
        <v>11</v>
      </c>
      <c r="C460" s="1767" t="s">
        <v>12</v>
      </c>
      <c r="D460" s="1768"/>
      <c r="E460" s="267" t="s">
        <v>13</v>
      </c>
      <c r="F460" s="268" t="s">
        <v>14</v>
      </c>
      <c r="G460" s="461" t="s">
        <v>34</v>
      </c>
    </row>
    <row r="461" spans="1:7" x14ac:dyDescent="0.25">
      <c r="A461" s="197">
        <v>1</v>
      </c>
      <c r="B461" s="197">
        <v>2</v>
      </c>
      <c r="C461" s="1773">
        <v>3</v>
      </c>
      <c r="D461" s="1774"/>
      <c r="E461" s="2">
        <v>4</v>
      </c>
      <c r="F461" s="205">
        <v>5</v>
      </c>
      <c r="G461" s="448">
        <v>6</v>
      </c>
    </row>
    <row r="462" spans="1:7" x14ac:dyDescent="0.25">
      <c r="A462" s="391" t="s">
        <v>972</v>
      </c>
      <c r="B462" s="660" t="s">
        <v>287</v>
      </c>
      <c r="C462" s="205"/>
      <c r="D462" s="206"/>
      <c r="E462" s="2"/>
      <c r="F462" s="205"/>
      <c r="G462" s="448"/>
    </row>
    <row r="463" spans="1:7" ht="24" x14ac:dyDescent="0.25">
      <c r="A463" s="391" t="s">
        <v>973</v>
      </c>
      <c r="B463" s="659" t="s">
        <v>485</v>
      </c>
      <c r="C463" s="419"/>
      <c r="D463" s="420"/>
      <c r="E463" s="201"/>
      <c r="F463" s="200"/>
      <c r="G463" s="369"/>
    </row>
    <row r="464" spans="1:7" x14ac:dyDescent="0.25">
      <c r="A464" s="391" t="s">
        <v>974</v>
      </c>
      <c r="B464" s="395" t="s">
        <v>975</v>
      </c>
      <c r="C464" s="419"/>
      <c r="D464" s="420"/>
      <c r="E464" s="201"/>
      <c r="F464" s="200"/>
      <c r="G464" s="369"/>
    </row>
    <row r="465" spans="1:26" x14ac:dyDescent="0.25">
      <c r="A465" s="256"/>
      <c r="B465" s="217" t="s">
        <v>976</v>
      </c>
      <c r="C465" s="205">
        <v>3</v>
      </c>
      <c r="D465" s="206" t="s">
        <v>977</v>
      </c>
      <c r="E465" s="252">
        <v>15000000</v>
      </c>
      <c r="F465" s="252">
        <f>E465*C465</f>
        <v>45000000</v>
      </c>
      <c r="G465" s="369"/>
    </row>
    <row r="466" spans="1:26" x14ac:dyDescent="0.25">
      <c r="A466" s="812"/>
      <c r="B466" s="217"/>
      <c r="C466" s="214"/>
      <c r="D466" s="407"/>
      <c r="E466" s="215"/>
      <c r="F466" s="408"/>
      <c r="G466" s="369"/>
    </row>
    <row r="467" spans="1:26" s="94" customFormat="1" ht="24" x14ac:dyDescent="0.25">
      <c r="A467" s="1883" t="s">
        <v>26</v>
      </c>
      <c r="B467" s="1884"/>
      <c r="C467" s="1884"/>
      <c r="D467" s="1884"/>
      <c r="E467" s="1885"/>
      <c r="F467" s="595">
        <f>SUM(F465:F466)</f>
        <v>45000000</v>
      </c>
      <c r="G467" s="209" t="s">
        <v>1961</v>
      </c>
      <c r="Z467" s="1302">
        <f>F467</f>
        <v>45000000</v>
      </c>
    </row>
    <row r="468" spans="1:26" s="444" customFormat="1" ht="12" x14ac:dyDescent="0.2">
      <c r="A468" s="1762" t="s">
        <v>549</v>
      </c>
      <c r="B468" s="1762"/>
      <c r="C468" s="188" t="s">
        <v>27</v>
      </c>
      <c r="D468" s="1763" t="s">
        <v>1429</v>
      </c>
      <c r="E468" s="1763"/>
      <c r="F468" s="1763"/>
      <c r="G468" s="188"/>
    </row>
    <row r="469" spans="1:26" s="444" customFormat="1" ht="12" x14ac:dyDescent="0.2">
      <c r="A469" s="1762" t="s">
        <v>28</v>
      </c>
      <c r="B469" s="1762"/>
      <c r="C469" s="188"/>
      <c r="D469" s="1764" t="s">
        <v>2834</v>
      </c>
      <c r="E469" s="1764"/>
      <c r="F469" s="1764"/>
      <c r="G469" s="188"/>
    </row>
    <row r="470" spans="1:26" s="444" customFormat="1" ht="12" x14ac:dyDescent="0.2">
      <c r="A470" s="186"/>
      <c r="B470" s="187"/>
      <c r="C470" s="188"/>
      <c r="D470" s="189"/>
      <c r="E470" s="218"/>
      <c r="F470" s="218"/>
      <c r="G470" s="188"/>
    </row>
    <row r="471" spans="1:26" s="444" customFormat="1" ht="12" x14ac:dyDescent="0.2">
      <c r="A471" s="186"/>
      <c r="B471" s="187"/>
      <c r="C471" s="188"/>
      <c r="D471" s="189"/>
      <c r="E471" s="218"/>
      <c r="F471" s="218"/>
      <c r="G471" s="188"/>
    </row>
    <row r="472" spans="1:26" s="444" customFormat="1" ht="12" x14ac:dyDescent="0.2">
      <c r="A472" s="1762"/>
      <c r="B472" s="1762"/>
      <c r="C472" s="188"/>
      <c r="D472" s="189"/>
      <c r="E472" s="1762"/>
      <c r="F472" s="1762"/>
      <c r="G472" s="188"/>
    </row>
    <row r="473" spans="1:26" s="444" customFormat="1" ht="12" x14ac:dyDescent="0.2">
      <c r="A473" s="1762" t="s">
        <v>29</v>
      </c>
      <c r="B473" s="1762"/>
      <c r="C473" s="188"/>
      <c r="D473" s="1762" t="s">
        <v>2993</v>
      </c>
      <c r="E473" s="1762"/>
      <c r="F473" s="1762"/>
      <c r="G473" s="188"/>
    </row>
    <row r="474" spans="1:26" x14ac:dyDescent="0.25">
      <c r="A474" s="1765" t="s">
        <v>0</v>
      </c>
      <c r="B474" s="1765"/>
      <c r="C474" s="1765"/>
      <c r="D474" s="1765"/>
      <c r="E474" s="1765"/>
      <c r="F474" s="1765"/>
      <c r="G474" s="581"/>
    </row>
    <row r="475" spans="1:26" x14ac:dyDescent="0.25">
      <c r="A475" s="1765" t="s">
        <v>1</v>
      </c>
      <c r="B475" s="1765"/>
      <c r="C475" s="1765"/>
      <c r="D475" s="1765"/>
      <c r="E475" s="1765"/>
      <c r="F475" s="1765"/>
      <c r="G475" s="581"/>
    </row>
    <row r="476" spans="1:26" x14ac:dyDescent="0.25">
      <c r="A476" s="1765" t="s">
        <v>1769</v>
      </c>
      <c r="B476" s="1765"/>
      <c r="C476" s="1765"/>
      <c r="D476" s="1765"/>
      <c r="E476" s="1765"/>
      <c r="F476" s="1765"/>
      <c r="G476" s="581"/>
    </row>
    <row r="477" spans="1:26" x14ac:dyDescent="0.25">
      <c r="A477" s="184"/>
      <c r="B477" s="184"/>
      <c r="C477" s="184"/>
      <c r="D477" s="184"/>
      <c r="E477" s="185"/>
      <c r="F477" s="185"/>
      <c r="G477" s="430"/>
    </row>
    <row r="478" spans="1:26" x14ac:dyDescent="0.25">
      <c r="A478" s="185" t="s">
        <v>491</v>
      </c>
      <c r="B478" s="185" t="s">
        <v>958</v>
      </c>
      <c r="C478" s="185"/>
      <c r="D478" s="185"/>
      <c r="E478" s="190" t="s">
        <v>6</v>
      </c>
      <c r="F478" s="190"/>
      <c r="G478" s="837"/>
    </row>
    <row r="479" spans="1:26" x14ac:dyDescent="0.25">
      <c r="A479" s="838" t="s">
        <v>492</v>
      </c>
      <c r="B479" s="530" t="s">
        <v>957</v>
      </c>
      <c r="C479" s="185"/>
      <c r="D479" s="185"/>
      <c r="E479" s="558" t="s">
        <v>969</v>
      </c>
      <c r="F479" s="185"/>
      <c r="G479" s="430"/>
    </row>
    <row r="480" spans="1:26" ht="24" x14ac:dyDescent="0.25">
      <c r="A480" s="838" t="s">
        <v>493</v>
      </c>
      <c r="B480" s="530" t="s">
        <v>978</v>
      </c>
      <c r="C480" s="530"/>
      <c r="D480" s="530"/>
      <c r="E480" s="185"/>
      <c r="F480" s="185"/>
      <c r="G480" s="430"/>
    </row>
    <row r="481" spans="1:14" x14ac:dyDescent="0.25">
      <c r="A481" s="185" t="s">
        <v>971</v>
      </c>
      <c r="B481" s="185" t="s">
        <v>61</v>
      </c>
      <c r="C481" s="185"/>
      <c r="D481" s="185"/>
      <c r="E481" s="185"/>
      <c r="F481" s="185"/>
      <c r="G481" s="430"/>
    </row>
    <row r="482" spans="1:14" x14ac:dyDescent="0.25">
      <c r="A482" s="185" t="s">
        <v>62</v>
      </c>
      <c r="B482" s="185" t="s">
        <v>63</v>
      </c>
      <c r="C482" s="185"/>
      <c r="D482" s="385"/>
      <c r="E482" s="559"/>
      <c r="F482" s="185"/>
      <c r="G482" s="430"/>
    </row>
    <row r="483" spans="1:14" ht="24" x14ac:dyDescent="0.25">
      <c r="A483" s="198" t="s">
        <v>30</v>
      </c>
      <c r="B483" s="198" t="s">
        <v>11</v>
      </c>
      <c r="C483" s="1767" t="s">
        <v>12</v>
      </c>
      <c r="D483" s="1768"/>
      <c r="E483" s="267" t="s">
        <v>13</v>
      </c>
      <c r="F483" s="268" t="s">
        <v>14</v>
      </c>
      <c r="G483" s="461" t="s">
        <v>34</v>
      </c>
    </row>
    <row r="484" spans="1:14" x14ac:dyDescent="0.25">
      <c r="A484" s="197">
        <v>1</v>
      </c>
      <c r="B484" s="197">
        <v>2</v>
      </c>
      <c r="C484" s="1773">
        <v>3</v>
      </c>
      <c r="D484" s="1774"/>
      <c r="E484" s="2">
        <v>4</v>
      </c>
      <c r="F484" s="205">
        <v>5</v>
      </c>
      <c r="G484" s="448">
        <v>6</v>
      </c>
    </row>
    <row r="485" spans="1:14" ht="24" x14ac:dyDescent="0.25">
      <c r="A485" s="391" t="s">
        <v>979</v>
      </c>
      <c r="B485" s="659" t="s">
        <v>485</v>
      </c>
      <c r="C485" s="419"/>
      <c r="D485" s="420"/>
      <c r="E485" s="201"/>
      <c r="F485" s="200"/>
      <c r="G485" s="369"/>
    </row>
    <row r="486" spans="1:14" x14ac:dyDescent="0.25">
      <c r="A486" s="391" t="s">
        <v>980</v>
      </c>
      <c r="B486" s="623" t="s">
        <v>975</v>
      </c>
      <c r="C486" s="419"/>
      <c r="D486" s="420"/>
      <c r="E486" s="201"/>
      <c r="F486" s="200"/>
      <c r="G486" s="369"/>
    </row>
    <row r="487" spans="1:14" ht="27" customHeight="1" x14ac:dyDescent="0.25">
      <c r="A487" s="256"/>
      <c r="B487" s="238" t="s">
        <v>981</v>
      </c>
      <c r="C487" s="839">
        <v>7</v>
      </c>
      <c r="D487" s="295" t="s">
        <v>982</v>
      </c>
      <c r="E487" s="820">
        <v>200000000</v>
      </c>
      <c r="F487" s="840">
        <f>C487*E487</f>
        <v>1400000000</v>
      </c>
      <c r="G487" s="369"/>
    </row>
    <row r="488" spans="1:14" ht="27" customHeight="1" x14ac:dyDescent="0.25">
      <c r="A488" s="256"/>
      <c r="B488" s="238" t="s">
        <v>983</v>
      </c>
      <c r="C488" s="205">
        <v>21</v>
      </c>
      <c r="D488" s="295" t="s">
        <v>984</v>
      </c>
      <c r="E488" s="820">
        <v>30000000</v>
      </c>
      <c r="F488" s="820">
        <f>C488*E488</f>
        <v>630000000</v>
      </c>
      <c r="G488" s="369"/>
    </row>
    <row r="489" spans="1:14" x14ac:dyDescent="0.25">
      <c r="A489" s="812"/>
      <c r="B489" s="217"/>
      <c r="C489" s="214"/>
      <c r="D489" s="407"/>
      <c r="E489" s="215"/>
      <c r="F489" s="408"/>
      <c r="G489" s="369"/>
    </row>
    <row r="490" spans="1:14" ht="24.75" x14ac:dyDescent="0.25">
      <c r="A490" s="1883" t="s">
        <v>26</v>
      </c>
      <c r="B490" s="1884"/>
      <c r="C490" s="1884"/>
      <c r="D490" s="1884"/>
      <c r="E490" s="1885"/>
      <c r="F490" s="841">
        <f>SUM(F487:F489)</f>
        <v>2030000000</v>
      </c>
      <c r="G490" s="369" t="s">
        <v>1605</v>
      </c>
      <c r="N490" s="32">
        <f>F490</f>
        <v>2030000000</v>
      </c>
    </row>
    <row r="491" spans="1:14" s="444" customFormat="1" ht="12" x14ac:dyDescent="0.2">
      <c r="A491" s="1762" t="s">
        <v>549</v>
      </c>
      <c r="B491" s="1762"/>
      <c r="C491" s="188" t="s">
        <v>27</v>
      </c>
      <c r="D491" s="1763" t="s">
        <v>1429</v>
      </c>
      <c r="E491" s="1763"/>
      <c r="F491" s="1763"/>
      <c r="G491" s="188"/>
    </row>
    <row r="492" spans="1:14" s="444" customFormat="1" ht="12" x14ac:dyDescent="0.2">
      <c r="A492" s="1762" t="s">
        <v>28</v>
      </c>
      <c r="B492" s="1762"/>
      <c r="C492" s="188"/>
      <c r="D492" s="1764" t="s">
        <v>2834</v>
      </c>
      <c r="E492" s="1764"/>
      <c r="F492" s="1764"/>
      <c r="G492" s="188"/>
    </row>
    <row r="493" spans="1:14" s="444" customFormat="1" ht="12" x14ac:dyDescent="0.2">
      <c r="A493" s="186"/>
      <c r="B493" s="187"/>
      <c r="C493" s="188"/>
      <c r="D493" s="189"/>
      <c r="E493" s="218"/>
      <c r="F493" s="218"/>
      <c r="G493" s="188"/>
    </row>
    <row r="494" spans="1:14" s="444" customFormat="1" ht="12" x14ac:dyDescent="0.2">
      <c r="A494" s="186"/>
      <c r="B494" s="187"/>
      <c r="C494" s="188"/>
      <c r="D494" s="189"/>
      <c r="E494" s="218"/>
      <c r="F494" s="218"/>
      <c r="G494" s="188"/>
    </row>
    <row r="495" spans="1:14" s="444" customFormat="1" ht="12" x14ac:dyDescent="0.2">
      <c r="A495" s="1762"/>
      <c r="B495" s="1762"/>
      <c r="C495" s="188"/>
      <c r="D495" s="189"/>
      <c r="E495" s="1762"/>
      <c r="F495" s="1762"/>
      <c r="G495" s="188"/>
    </row>
    <row r="496" spans="1:14" s="444" customFormat="1" ht="12" x14ac:dyDescent="0.2">
      <c r="A496" s="1762" t="s">
        <v>29</v>
      </c>
      <c r="B496" s="1762"/>
      <c r="C496" s="188"/>
      <c r="D496" s="1762" t="s">
        <v>2993</v>
      </c>
      <c r="E496" s="1762"/>
      <c r="F496" s="1762"/>
      <c r="G496" s="188"/>
    </row>
    <row r="497" spans="1:7" x14ac:dyDescent="0.25">
      <c r="B497" s="5"/>
      <c r="C497" s="97"/>
      <c r="D497" s="97"/>
    </row>
    <row r="498" spans="1:7" x14ac:dyDescent="0.25">
      <c r="A498" s="1889" t="s">
        <v>995</v>
      </c>
      <c r="B498" s="1889"/>
      <c r="C498" s="1889"/>
      <c r="D498" s="1889"/>
      <c r="E498" s="1889"/>
      <c r="F498" s="1889"/>
      <c r="G498" s="1889"/>
    </row>
    <row r="499" spans="1:7" x14ac:dyDescent="0.25">
      <c r="A499" s="1889" t="s">
        <v>1</v>
      </c>
      <c r="B499" s="1889"/>
      <c r="C499" s="1889"/>
      <c r="D499" s="1889"/>
      <c r="E499" s="1889"/>
      <c r="F499" s="1889"/>
      <c r="G499" s="1889"/>
    </row>
    <row r="500" spans="1:7" x14ac:dyDescent="0.25">
      <c r="A500" s="1889" t="s">
        <v>1769</v>
      </c>
      <c r="B500" s="1889"/>
      <c r="C500" s="1889"/>
      <c r="D500" s="1889"/>
      <c r="E500" s="1889"/>
      <c r="F500" s="1889"/>
      <c r="G500" s="1889"/>
    </row>
    <row r="501" spans="1:7" x14ac:dyDescent="0.25">
      <c r="A501" s="298" t="s">
        <v>1483</v>
      </c>
      <c r="B501" s="1890" t="s">
        <v>985</v>
      </c>
      <c r="C501" s="1890"/>
      <c r="D501" s="842"/>
      <c r="E501" s="223"/>
      <c r="F501" s="223"/>
      <c r="G501" s="843"/>
    </row>
    <row r="502" spans="1:7" ht="30" x14ac:dyDescent="0.25">
      <c r="A502" s="844" t="s">
        <v>712</v>
      </c>
      <c r="B502" s="845" t="s">
        <v>1498</v>
      </c>
      <c r="C502" s="842"/>
      <c r="D502" s="842"/>
      <c r="E502" s="223" t="s">
        <v>1484</v>
      </c>
      <c r="F502" s="223"/>
      <c r="G502" s="846"/>
    </row>
    <row r="503" spans="1:7" x14ac:dyDescent="0.25">
      <c r="A503" s="847" t="s">
        <v>749</v>
      </c>
      <c r="B503" s="847" t="s">
        <v>1507</v>
      </c>
      <c r="C503" s="842"/>
      <c r="D503" s="842"/>
      <c r="E503" s="223" t="s">
        <v>1485</v>
      </c>
      <c r="F503" s="223"/>
      <c r="G503" s="848"/>
    </row>
    <row r="504" spans="1:7" x14ac:dyDescent="0.25">
      <c r="A504" s="298" t="s">
        <v>422</v>
      </c>
      <c r="B504" s="849" t="s">
        <v>61</v>
      </c>
      <c r="C504" s="842"/>
      <c r="D504" s="842"/>
      <c r="E504" s="298"/>
      <c r="F504" s="298"/>
      <c r="G504" s="846"/>
    </row>
    <row r="505" spans="1:7" x14ac:dyDescent="0.25">
      <c r="A505" s="844" t="s">
        <v>62</v>
      </c>
      <c r="B505" s="845" t="s">
        <v>63</v>
      </c>
      <c r="C505" s="842"/>
      <c r="D505" s="842"/>
      <c r="E505" s="844"/>
      <c r="F505" s="844"/>
      <c r="G505" s="850"/>
    </row>
    <row r="506" spans="1:7" x14ac:dyDescent="0.25">
      <c r="A506" s="844"/>
      <c r="B506" s="845"/>
      <c r="C506" s="842"/>
      <c r="D506" s="842"/>
      <c r="E506" s="844"/>
      <c r="F506" s="844"/>
      <c r="G506" s="845"/>
    </row>
    <row r="507" spans="1:7" ht="42.75" x14ac:dyDescent="0.25">
      <c r="A507" s="829" t="s">
        <v>30</v>
      </c>
      <c r="B507" s="829" t="s">
        <v>11</v>
      </c>
      <c r="C507" s="1891" t="s">
        <v>12</v>
      </c>
      <c r="D507" s="1892"/>
      <c r="E507" s="851" t="s">
        <v>13</v>
      </c>
      <c r="F507" s="831" t="s">
        <v>14</v>
      </c>
      <c r="G507" s="852" t="s">
        <v>266</v>
      </c>
    </row>
    <row r="508" spans="1:7" x14ac:dyDescent="0.25">
      <c r="A508" s="323">
        <v>1</v>
      </c>
      <c r="B508" s="311">
        <v>2</v>
      </c>
      <c r="C508" s="1838">
        <v>3</v>
      </c>
      <c r="D508" s="1839"/>
      <c r="E508" s="670">
        <v>4</v>
      </c>
      <c r="F508" s="321">
        <v>5</v>
      </c>
      <c r="G508" s="671">
        <v>7</v>
      </c>
    </row>
    <row r="509" spans="1:7" x14ac:dyDescent="0.25">
      <c r="A509" s="325"/>
      <c r="B509" s="853"/>
      <c r="C509" s="854"/>
      <c r="D509" s="855"/>
      <c r="E509" s="856"/>
      <c r="F509" s="857"/>
      <c r="G509" s="671"/>
    </row>
    <row r="510" spans="1:7" x14ac:dyDescent="0.25">
      <c r="A510" s="325"/>
      <c r="B510" s="858" t="s">
        <v>2994</v>
      </c>
      <c r="C510" s="321"/>
      <c r="D510" s="322"/>
      <c r="E510" s="323"/>
      <c r="F510" s="857"/>
      <c r="G510" s="671"/>
    </row>
    <row r="511" spans="1:7" x14ac:dyDescent="0.25">
      <c r="A511" s="672" t="s">
        <v>1508</v>
      </c>
      <c r="B511" s="859" t="s">
        <v>746</v>
      </c>
      <c r="C511" s="321"/>
      <c r="D511" s="322"/>
      <c r="E511" s="323"/>
      <c r="F511" s="857"/>
      <c r="G511" s="671"/>
    </row>
    <row r="512" spans="1:7" x14ac:dyDescent="0.25">
      <c r="A512" s="672" t="s">
        <v>1509</v>
      </c>
      <c r="B512" s="673" t="s">
        <v>1510</v>
      </c>
      <c r="C512" s="321"/>
      <c r="D512" s="322"/>
      <c r="E512" s="323"/>
      <c r="F512" s="857"/>
      <c r="G512" s="671"/>
    </row>
    <row r="513" spans="1:20" ht="28.5" x14ac:dyDescent="0.25">
      <c r="A513" s="860" t="s">
        <v>1511</v>
      </c>
      <c r="B513" s="673" t="s">
        <v>1512</v>
      </c>
      <c r="C513" s="321"/>
      <c r="D513" s="322"/>
      <c r="E513" s="323"/>
      <c r="F513" s="857"/>
      <c r="G513" s="671"/>
    </row>
    <row r="514" spans="1:20" ht="30" x14ac:dyDescent="0.25">
      <c r="A514" s="325"/>
      <c r="B514" s="329" t="s">
        <v>1943</v>
      </c>
      <c r="C514" s="321">
        <v>45</v>
      </c>
      <c r="D514" s="322" t="s">
        <v>279</v>
      </c>
      <c r="E514" s="337">
        <v>500000</v>
      </c>
      <c r="F514" s="857">
        <f>C514*E514</f>
        <v>22500000</v>
      </c>
      <c r="G514" s="671" t="s">
        <v>2570</v>
      </c>
      <c r="T514" s="172">
        <f>F514</f>
        <v>22500000</v>
      </c>
    </row>
    <row r="515" spans="1:20" ht="28.5" x14ac:dyDescent="0.25">
      <c r="A515" s="325"/>
      <c r="B515" s="858" t="s">
        <v>2375</v>
      </c>
      <c r="C515" s="321"/>
      <c r="D515" s="322"/>
      <c r="E515" s="323"/>
      <c r="F515" s="857"/>
      <c r="G515" s="342"/>
    </row>
    <row r="516" spans="1:20" x14ac:dyDescent="0.25">
      <c r="A516" s="672" t="s">
        <v>1508</v>
      </c>
      <c r="B516" s="859" t="s">
        <v>746</v>
      </c>
      <c r="C516" s="321"/>
      <c r="D516" s="322"/>
      <c r="E516" s="323"/>
      <c r="F516" s="857"/>
      <c r="G516" s="342"/>
    </row>
    <row r="517" spans="1:20" x14ac:dyDescent="0.25">
      <c r="A517" s="672" t="s">
        <v>1509</v>
      </c>
      <c r="B517" s="673" t="s">
        <v>1510</v>
      </c>
      <c r="C517" s="321"/>
      <c r="D517" s="322"/>
      <c r="E517" s="323"/>
      <c r="F517" s="857"/>
      <c r="G517" s="342"/>
    </row>
    <row r="518" spans="1:20" ht="28.5" x14ac:dyDescent="0.25">
      <c r="A518" s="860" t="s">
        <v>1511</v>
      </c>
      <c r="B518" s="673" t="s">
        <v>1512</v>
      </c>
      <c r="C518" s="321"/>
      <c r="D518" s="322"/>
      <c r="E518" s="323"/>
      <c r="F518" s="857"/>
      <c r="G518" s="342"/>
    </row>
    <row r="519" spans="1:20" ht="30" x14ac:dyDescent="0.25">
      <c r="A519" s="325"/>
      <c r="B519" s="329" t="s">
        <v>1943</v>
      </c>
      <c r="C519" s="321">
        <v>45</v>
      </c>
      <c r="D519" s="322" t="s">
        <v>279</v>
      </c>
      <c r="E519" s="337">
        <v>500000</v>
      </c>
      <c r="F519" s="857">
        <f>C519*E519</f>
        <v>22500000</v>
      </c>
      <c r="G519" s="671" t="s">
        <v>2570</v>
      </c>
      <c r="K519" s="172"/>
      <c r="T519" s="172">
        <f>F519</f>
        <v>22500000</v>
      </c>
    </row>
    <row r="520" spans="1:20" ht="28.5" x14ac:dyDescent="0.25">
      <c r="A520" s="325"/>
      <c r="B520" s="858" t="s">
        <v>2376</v>
      </c>
      <c r="C520" s="321"/>
      <c r="D520" s="322"/>
      <c r="E520" s="323"/>
      <c r="F520" s="857"/>
      <c r="G520" s="342"/>
    </row>
    <row r="521" spans="1:20" x14ac:dyDescent="0.25">
      <c r="A521" s="672" t="s">
        <v>1508</v>
      </c>
      <c r="B521" s="859" t="s">
        <v>746</v>
      </c>
      <c r="C521" s="321"/>
      <c r="D521" s="322"/>
      <c r="E521" s="323"/>
      <c r="F521" s="857"/>
      <c r="G521" s="342"/>
    </row>
    <row r="522" spans="1:20" x14ac:dyDescent="0.25">
      <c r="A522" s="672" t="s">
        <v>1509</v>
      </c>
      <c r="B522" s="673" t="s">
        <v>1510</v>
      </c>
      <c r="C522" s="321"/>
      <c r="D522" s="322"/>
      <c r="E522" s="323"/>
      <c r="F522" s="857"/>
      <c r="G522" s="342"/>
    </row>
    <row r="523" spans="1:20" ht="28.5" x14ac:dyDescent="0.25">
      <c r="A523" s="860" t="s">
        <v>1511</v>
      </c>
      <c r="B523" s="673" t="s">
        <v>1512</v>
      </c>
      <c r="C523" s="321"/>
      <c r="D523" s="322"/>
      <c r="E523" s="323"/>
      <c r="F523" s="857"/>
      <c r="G523" s="342"/>
    </row>
    <row r="524" spans="1:20" x14ac:dyDescent="0.25">
      <c r="A524" s="325"/>
      <c r="B524" s="329" t="s">
        <v>1943</v>
      </c>
      <c r="C524" s="321">
        <v>45</v>
      </c>
      <c r="D524" s="322" t="s">
        <v>279</v>
      </c>
      <c r="E524" s="337">
        <v>500000</v>
      </c>
      <c r="F524" s="857">
        <f>C524*E524</f>
        <v>22500000</v>
      </c>
      <c r="G524" s="342" t="s">
        <v>1409</v>
      </c>
      <c r="K524" s="172">
        <f>F524</f>
        <v>22500000</v>
      </c>
    </row>
    <row r="525" spans="1:20" ht="28.5" x14ac:dyDescent="0.25">
      <c r="A525" s="861"/>
      <c r="B525" s="858" t="s">
        <v>1513</v>
      </c>
      <c r="C525" s="313"/>
      <c r="D525" s="319"/>
      <c r="E525" s="862"/>
      <c r="F525" s="857"/>
      <c r="G525" s="863"/>
    </row>
    <row r="526" spans="1:20" x14ac:dyDescent="0.25">
      <c r="A526" s="672" t="s">
        <v>1508</v>
      </c>
      <c r="B526" s="859" t="s">
        <v>746</v>
      </c>
      <c r="C526" s="321"/>
      <c r="D526" s="322"/>
      <c r="E526" s="337"/>
      <c r="F526" s="857"/>
      <c r="G526" s="863"/>
    </row>
    <row r="527" spans="1:20" x14ac:dyDescent="0.25">
      <c r="A527" s="672" t="s">
        <v>1509</v>
      </c>
      <c r="B527" s="859" t="s">
        <v>1510</v>
      </c>
      <c r="C527" s="321"/>
      <c r="D527" s="322"/>
      <c r="E527" s="337"/>
      <c r="F527" s="857"/>
      <c r="G527" s="863"/>
    </row>
    <row r="528" spans="1:20" ht="28.5" x14ac:dyDescent="0.25">
      <c r="A528" s="860" t="s">
        <v>1511</v>
      </c>
      <c r="B528" s="673" t="s">
        <v>1512</v>
      </c>
      <c r="C528" s="321"/>
      <c r="D528" s="322"/>
      <c r="E528" s="337"/>
      <c r="F528" s="857"/>
      <c r="G528" s="863"/>
    </row>
    <row r="529" spans="1:11" x14ac:dyDescent="0.25">
      <c r="A529" s="864"/>
      <c r="B529" s="351" t="s">
        <v>1943</v>
      </c>
      <c r="C529" s="321">
        <v>45</v>
      </c>
      <c r="D529" s="322" t="s">
        <v>279</v>
      </c>
      <c r="E529" s="337">
        <v>1500000</v>
      </c>
      <c r="F529" s="857">
        <f>C529*E529</f>
        <v>67500000</v>
      </c>
      <c r="G529" s="324" t="s">
        <v>1409</v>
      </c>
      <c r="K529" s="172">
        <f>F529</f>
        <v>67500000</v>
      </c>
    </row>
    <row r="530" spans="1:11" ht="28.5" x14ac:dyDescent="0.25">
      <c r="A530" s="861"/>
      <c r="B530" s="858" t="s">
        <v>1514</v>
      </c>
      <c r="C530" s="313"/>
      <c r="D530" s="319"/>
      <c r="E530" s="862"/>
      <c r="F530" s="865"/>
      <c r="G530" s="863"/>
    </row>
    <row r="531" spans="1:11" x14ac:dyDescent="0.25">
      <c r="A531" s="672" t="s">
        <v>1508</v>
      </c>
      <c r="B531" s="354" t="s">
        <v>746</v>
      </c>
      <c r="C531" s="321"/>
      <c r="D531" s="322"/>
      <c r="E531" s="337"/>
      <c r="F531" s="857"/>
      <c r="G531" s="324"/>
    </row>
    <row r="532" spans="1:11" x14ac:dyDescent="0.25">
      <c r="A532" s="672" t="s">
        <v>1509</v>
      </c>
      <c r="B532" s="354" t="s">
        <v>1510</v>
      </c>
      <c r="C532" s="321"/>
      <c r="D532" s="322"/>
      <c r="E532" s="337"/>
      <c r="F532" s="857"/>
      <c r="G532" s="324"/>
    </row>
    <row r="533" spans="1:11" ht="29.25" x14ac:dyDescent="0.25">
      <c r="A533" s="860" t="s">
        <v>1511</v>
      </c>
      <c r="B533" s="350" t="s">
        <v>1512</v>
      </c>
      <c r="C533" s="321"/>
      <c r="D533" s="322"/>
      <c r="E533" s="337"/>
      <c r="F533" s="857"/>
      <c r="G533" s="324"/>
    </row>
    <row r="534" spans="1:11" x14ac:dyDescent="0.25">
      <c r="A534" s="864"/>
      <c r="B534" s="351" t="s">
        <v>1943</v>
      </c>
      <c r="C534" s="321">
        <v>45</v>
      </c>
      <c r="D534" s="322" t="s">
        <v>279</v>
      </c>
      <c r="E534" s="337">
        <v>2000000</v>
      </c>
      <c r="F534" s="857">
        <f>C534*E534</f>
        <v>90000000</v>
      </c>
      <c r="G534" s="324" t="s">
        <v>1409</v>
      </c>
      <c r="K534" s="172">
        <f>F534</f>
        <v>90000000</v>
      </c>
    </row>
    <row r="535" spans="1:11" x14ac:dyDescent="0.25">
      <c r="A535" s="864"/>
      <c r="B535" s="687"/>
      <c r="C535" s="866"/>
      <c r="D535" s="866"/>
      <c r="E535" s="867"/>
      <c r="F535" s="337"/>
      <c r="G535" s="863"/>
    </row>
    <row r="536" spans="1:11" x14ac:dyDescent="0.25">
      <c r="A536" s="864"/>
      <c r="B536" s="1886" t="s">
        <v>26</v>
      </c>
      <c r="C536" s="1887"/>
      <c r="D536" s="1887"/>
      <c r="E536" s="1888"/>
      <c r="F536" s="868">
        <f>SUM(F514:F534)</f>
        <v>225000000</v>
      </c>
      <c r="G536" s="862"/>
      <c r="K536" s="36"/>
    </row>
    <row r="537" spans="1:11" s="444" customFormat="1" ht="12" x14ac:dyDescent="0.2">
      <c r="A537" s="1762" t="s">
        <v>549</v>
      </c>
      <c r="B537" s="1762"/>
      <c r="C537" s="188" t="s">
        <v>27</v>
      </c>
      <c r="D537" s="1763" t="s">
        <v>1429</v>
      </c>
      <c r="E537" s="1763"/>
      <c r="F537" s="1763"/>
      <c r="G537" s="188"/>
    </row>
    <row r="538" spans="1:11" s="444" customFormat="1" ht="12" x14ac:dyDescent="0.2">
      <c r="A538" s="1762" t="s">
        <v>28</v>
      </c>
      <c r="B538" s="1762"/>
      <c r="C538" s="188"/>
      <c r="D538" s="1764" t="s">
        <v>2834</v>
      </c>
      <c r="E538" s="1764"/>
      <c r="F538" s="1764"/>
      <c r="G538" s="188"/>
    </row>
    <row r="539" spans="1:11" s="444" customFormat="1" ht="12" x14ac:dyDescent="0.2">
      <c r="A539" s="186"/>
      <c r="B539" s="187"/>
      <c r="C539" s="188"/>
      <c r="D539" s="189"/>
      <c r="E539" s="218"/>
      <c r="F539" s="218"/>
      <c r="G539" s="188"/>
    </row>
    <row r="540" spans="1:11" s="444" customFormat="1" ht="12" x14ac:dyDescent="0.2">
      <c r="A540" s="186"/>
      <c r="B540" s="187"/>
      <c r="C540" s="188"/>
      <c r="D540" s="189"/>
      <c r="E540" s="218"/>
      <c r="F540" s="218"/>
      <c r="G540" s="188"/>
    </row>
    <row r="541" spans="1:11" s="444" customFormat="1" ht="12" x14ac:dyDescent="0.2">
      <c r="A541" s="1762"/>
      <c r="B541" s="1762"/>
      <c r="C541" s="188"/>
      <c r="D541" s="189"/>
      <c r="E541" s="1762"/>
      <c r="F541" s="1762"/>
      <c r="G541" s="188"/>
    </row>
    <row r="542" spans="1:11" s="444" customFormat="1" ht="12" x14ac:dyDescent="0.2">
      <c r="A542" s="1762" t="s">
        <v>29</v>
      </c>
      <c r="B542" s="1762"/>
      <c r="C542" s="188"/>
      <c r="D542" s="1762" t="s">
        <v>2993</v>
      </c>
      <c r="E542" s="1762"/>
      <c r="F542" s="1762"/>
      <c r="G542" s="188"/>
    </row>
    <row r="543" spans="1:11" x14ac:dyDescent="0.25">
      <c r="A543" s="260"/>
      <c r="B543" s="260"/>
      <c r="C543" s="188"/>
      <c r="D543" s="260"/>
      <c r="E543" s="260"/>
      <c r="F543" s="260"/>
      <c r="G543" s="188"/>
    </row>
    <row r="544" spans="1:11" x14ac:dyDescent="0.25">
      <c r="A544" s="1866" t="s">
        <v>0</v>
      </c>
      <c r="B544" s="1866"/>
      <c r="C544" s="1866"/>
      <c r="D544" s="1866"/>
      <c r="E544" s="1866"/>
      <c r="F544" s="1866"/>
      <c r="G544" s="1866"/>
    </row>
    <row r="545" spans="1:7" x14ac:dyDescent="0.25">
      <c r="A545" s="1866" t="s">
        <v>1</v>
      </c>
      <c r="B545" s="1866"/>
      <c r="C545" s="1866"/>
      <c r="D545" s="1866"/>
      <c r="E545" s="1866"/>
      <c r="F545" s="1866"/>
      <c r="G545" s="1866"/>
    </row>
    <row r="546" spans="1:7" x14ac:dyDescent="0.25">
      <c r="A546" s="1866" t="s">
        <v>1769</v>
      </c>
      <c r="B546" s="1866"/>
      <c r="C546" s="1866"/>
      <c r="D546" s="1866"/>
      <c r="E546" s="1866"/>
      <c r="F546" s="1866"/>
      <c r="G546" s="1866"/>
    </row>
    <row r="547" spans="1:7" x14ac:dyDescent="0.25">
      <c r="A547" s="753"/>
      <c r="B547" s="753"/>
      <c r="C547" s="753"/>
      <c r="D547" s="753"/>
      <c r="E547" s="753"/>
      <c r="F547" s="753"/>
      <c r="G547" s="754"/>
    </row>
    <row r="548" spans="1:7" x14ac:dyDescent="0.25">
      <c r="A548" s="428" t="s">
        <v>261</v>
      </c>
      <c r="B548" s="428" t="s">
        <v>911</v>
      </c>
      <c r="C548" s="428"/>
      <c r="D548" s="428"/>
      <c r="E548" s="190" t="s">
        <v>6</v>
      </c>
      <c r="F548" s="585" t="s">
        <v>63</v>
      </c>
      <c r="G548" s="755"/>
    </row>
    <row r="549" spans="1:7" x14ac:dyDescent="0.25">
      <c r="A549" s="428" t="s">
        <v>262</v>
      </c>
      <c r="B549" s="434" t="s">
        <v>1123</v>
      </c>
      <c r="C549" s="428"/>
      <c r="D549" s="428"/>
      <c r="E549" s="558" t="s">
        <v>515</v>
      </c>
      <c r="F549" s="586" t="s">
        <v>63</v>
      </c>
      <c r="G549" s="755"/>
    </row>
    <row r="550" spans="1:7" s="5" customFormat="1" ht="114" customHeight="1" x14ac:dyDescent="0.25">
      <c r="A550" s="530" t="s">
        <v>263</v>
      </c>
      <c r="B550" s="502" t="s">
        <v>1902</v>
      </c>
      <c r="C550" s="502"/>
      <c r="D550" s="502"/>
      <c r="E550" s="429"/>
      <c r="F550" s="632"/>
      <c r="G550" s="755"/>
    </row>
    <row r="551" spans="1:7" x14ac:dyDescent="0.25">
      <c r="A551" s="188" t="s">
        <v>60</v>
      </c>
      <c r="B551" s="188" t="s">
        <v>61</v>
      </c>
      <c r="C551" s="188"/>
      <c r="D551" s="188"/>
      <c r="E551" s="188"/>
      <c r="F551" s="756"/>
      <c r="G551" s="755"/>
    </row>
    <row r="552" spans="1:7" x14ac:dyDescent="0.25">
      <c r="A552" s="188" t="s">
        <v>62</v>
      </c>
      <c r="B552" s="188" t="s">
        <v>63</v>
      </c>
      <c r="C552" s="188"/>
      <c r="D552" s="1763"/>
      <c r="E552" s="1763"/>
      <c r="F552" s="756"/>
      <c r="G552" s="755"/>
    </row>
    <row r="553" spans="1:7" ht="24" x14ac:dyDescent="0.25">
      <c r="A553" s="388" t="s">
        <v>265</v>
      </c>
      <c r="B553" s="388" t="s">
        <v>11</v>
      </c>
      <c r="C553" s="1787" t="s">
        <v>12</v>
      </c>
      <c r="D553" s="1788"/>
      <c r="E553" s="707" t="s">
        <v>13</v>
      </c>
      <c r="F553" s="389" t="s">
        <v>14</v>
      </c>
      <c r="G553" s="757" t="s">
        <v>266</v>
      </c>
    </row>
    <row r="554" spans="1:7" x14ac:dyDescent="0.25">
      <c r="A554" s="198">
        <v>1</v>
      </c>
      <c r="B554" s="198">
        <v>2</v>
      </c>
      <c r="C554" s="1767">
        <v>3</v>
      </c>
      <c r="D554" s="1768"/>
      <c r="E554" s="269">
        <v>4</v>
      </c>
      <c r="F554" s="268">
        <v>5</v>
      </c>
      <c r="G554" s="758">
        <v>6</v>
      </c>
    </row>
    <row r="555" spans="1:7" x14ac:dyDescent="0.25">
      <c r="A555" s="203" t="s">
        <v>1046</v>
      </c>
      <c r="B555" s="759" t="s">
        <v>287</v>
      </c>
      <c r="C555" s="205"/>
      <c r="D555" s="206"/>
      <c r="E555" s="197"/>
      <c r="F555" s="197"/>
      <c r="G555" s="463"/>
    </row>
    <row r="556" spans="1:7" x14ac:dyDescent="0.25">
      <c r="A556" s="203" t="s">
        <v>1050</v>
      </c>
      <c r="B556" s="760" t="s">
        <v>86</v>
      </c>
      <c r="C556" s="205"/>
      <c r="D556" s="206"/>
      <c r="E556" s="197"/>
      <c r="F556" s="197"/>
      <c r="G556" s="463"/>
    </row>
    <row r="557" spans="1:7" ht="24" x14ac:dyDescent="0.25">
      <c r="A557" s="203" t="s">
        <v>1049</v>
      </c>
      <c r="B557" s="361" t="s">
        <v>317</v>
      </c>
      <c r="C557" s="205"/>
      <c r="D557" s="206"/>
      <c r="E557" s="761"/>
      <c r="F557" s="762"/>
      <c r="G557" s="469"/>
    </row>
    <row r="558" spans="1:7" x14ac:dyDescent="0.25">
      <c r="A558" s="256"/>
      <c r="B558" s="763" t="s">
        <v>1467</v>
      </c>
      <c r="C558" s="205">
        <v>30</v>
      </c>
      <c r="D558" s="206" t="s">
        <v>279</v>
      </c>
      <c r="E558" s="764">
        <v>15000</v>
      </c>
      <c r="F558" s="762">
        <f t="shared" ref="F558:F615" si="5">C558*E558</f>
        <v>450000</v>
      </c>
      <c r="G558" s="469"/>
    </row>
    <row r="559" spans="1:7" ht="36" x14ac:dyDescent="0.25">
      <c r="A559" s="256"/>
      <c r="B559" s="657" t="s">
        <v>1903</v>
      </c>
      <c r="C559" s="205">
        <v>180</v>
      </c>
      <c r="D559" s="206" t="s">
        <v>279</v>
      </c>
      <c r="E559" s="764">
        <v>15000</v>
      </c>
      <c r="F559" s="762">
        <f t="shared" si="5"/>
        <v>2700000</v>
      </c>
      <c r="G559" s="469"/>
    </row>
    <row r="560" spans="1:7" ht="37.5" customHeight="1" x14ac:dyDescent="0.25">
      <c r="A560" s="256"/>
      <c r="B560" s="765" t="s">
        <v>1904</v>
      </c>
      <c r="C560" s="205">
        <v>37</v>
      </c>
      <c r="D560" s="206" t="s">
        <v>279</v>
      </c>
      <c r="E560" s="764">
        <v>15000</v>
      </c>
      <c r="F560" s="762">
        <f t="shared" si="5"/>
        <v>555000</v>
      </c>
      <c r="G560" s="469"/>
    </row>
    <row r="561" spans="1:7" ht="49.5" customHeight="1" x14ac:dyDescent="0.25">
      <c r="A561" s="400"/>
      <c r="B561" s="765" t="s">
        <v>1905</v>
      </c>
      <c r="C561" s="205">
        <v>80</v>
      </c>
      <c r="D561" s="206" t="s">
        <v>279</v>
      </c>
      <c r="E561" s="764">
        <v>15000</v>
      </c>
      <c r="F561" s="762">
        <f t="shared" si="5"/>
        <v>1200000</v>
      </c>
      <c r="G561" s="469"/>
    </row>
    <row r="562" spans="1:7" ht="15" customHeight="1" x14ac:dyDescent="0.25">
      <c r="A562" s="203" t="s">
        <v>1052</v>
      </c>
      <c r="B562" s="659" t="s">
        <v>1018</v>
      </c>
      <c r="C562" s="205"/>
      <c r="D562" s="206"/>
      <c r="E562" s="764"/>
      <c r="F562" s="762"/>
      <c r="G562" s="469"/>
    </row>
    <row r="563" spans="1:7" ht="15" customHeight="1" x14ac:dyDescent="0.25">
      <c r="A563" s="203"/>
      <c r="B563" s="657" t="s">
        <v>1906</v>
      </c>
      <c r="C563" s="205">
        <v>8</v>
      </c>
      <c r="D563" s="206" t="s">
        <v>110</v>
      </c>
      <c r="E563" s="764">
        <v>11000</v>
      </c>
      <c r="F563" s="762">
        <f t="shared" si="5"/>
        <v>88000</v>
      </c>
      <c r="G563" s="469"/>
    </row>
    <row r="564" spans="1:7" ht="15" customHeight="1" x14ac:dyDescent="0.25">
      <c r="A564" s="203"/>
      <c r="B564" s="657" t="s">
        <v>605</v>
      </c>
      <c r="C564" s="205">
        <v>8</v>
      </c>
      <c r="D564" s="206" t="s">
        <v>110</v>
      </c>
      <c r="E564" s="764">
        <v>35000</v>
      </c>
      <c r="F564" s="762">
        <f t="shared" si="5"/>
        <v>280000</v>
      </c>
      <c r="G564" s="469"/>
    </row>
    <row r="565" spans="1:7" ht="15" customHeight="1" x14ac:dyDescent="0.25">
      <c r="A565" s="203"/>
      <c r="B565" s="657" t="s">
        <v>590</v>
      </c>
      <c r="C565" s="205">
        <v>8</v>
      </c>
      <c r="D565" s="206" t="s">
        <v>110</v>
      </c>
      <c r="E565" s="764">
        <v>6000</v>
      </c>
      <c r="F565" s="762">
        <f t="shared" si="5"/>
        <v>48000</v>
      </c>
      <c r="G565" s="469"/>
    </row>
    <row r="566" spans="1:7" ht="15" customHeight="1" x14ac:dyDescent="0.25">
      <c r="A566" s="203"/>
      <c r="B566" s="657" t="s">
        <v>602</v>
      </c>
      <c r="C566" s="205">
        <v>8</v>
      </c>
      <c r="D566" s="206" t="s">
        <v>110</v>
      </c>
      <c r="E566" s="764">
        <v>10000</v>
      </c>
      <c r="F566" s="762">
        <f t="shared" si="5"/>
        <v>80000</v>
      </c>
      <c r="G566" s="469"/>
    </row>
    <row r="567" spans="1:7" ht="15" customHeight="1" x14ac:dyDescent="0.25">
      <c r="A567" s="203"/>
      <c r="B567" s="657" t="s">
        <v>1468</v>
      </c>
      <c r="C567" s="205">
        <v>8</v>
      </c>
      <c r="D567" s="206" t="s">
        <v>110</v>
      </c>
      <c r="E567" s="764">
        <v>6000</v>
      </c>
      <c r="F567" s="762">
        <f t="shared" si="5"/>
        <v>48000</v>
      </c>
      <c r="G567" s="469"/>
    </row>
    <row r="568" spans="1:7" ht="15" customHeight="1" x14ac:dyDescent="0.25">
      <c r="A568" s="203"/>
      <c r="B568" s="657" t="s">
        <v>1469</v>
      </c>
      <c r="C568" s="205">
        <v>8</v>
      </c>
      <c r="D568" s="206" t="s">
        <v>110</v>
      </c>
      <c r="E568" s="764">
        <v>6000</v>
      </c>
      <c r="F568" s="762">
        <f t="shared" si="5"/>
        <v>48000</v>
      </c>
      <c r="G568" s="469"/>
    </row>
    <row r="569" spans="1:7" ht="24" x14ac:dyDescent="0.25">
      <c r="A569" s="203" t="s">
        <v>1125</v>
      </c>
      <c r="B569" s="659" t="s">
        <v>1037</v>
      </c>
      <c r="C569" s="205"/>
      <c r="D569" s="206"/>
      <c r="E569" s="764"/>
      <c r="F569" s="762"/>
      <c r="G569" s="469"/>
    </row>
    <row r="570" spans="1:7" x14ac:dyDescent="0.25">
      <c r="A570" s="256"/>
      <c r="B570" s="657" t="s">
        <v>836</v>
      </c>
      <c r="C570" s="205">
        <v>3</v>
      </c>
      <c r="D570" s="206" t="s">
        <v>110</v>
      </c>
      <c r="E570" s="764">
        <v>90000</v>
      </c>
      <c r="F570" s="762">
        <f t="shared" si="5"/>
        <v>270000</v>
      </c>
      <c r="G570" s="469"/>
    </row>
    <row r="571" spans="1:7" x14ac:dyDescent="0.25">
      <c r="A571" s="203" t="s">
        <v>1126</v>
      </c>
      <c r="B571" s="660" t="s">
        <v>283</v>
      </c>
      <c r="C571" s="205"/>
      <c r="D571" s="206"/>
      <c r="E571" s="764"/>
      <c r="F571" s="762"/>
      <c r="G571" s="469"/>
    </row>
    <row r="572" spans="1:7" ht="12" customHeight="1" x14ac:dyDescent="0.25">
      <c r="A572" s="217"/>
      <c r="B572" s="238" t="s">
        <v>451</v>
      </c>
      <c r="C572" s="205">
        <v>2</v>
      </c>
      <c r="D572" s="206" t="s">
        <v>95</v>
      </c>
      <c r="E572" s="764">
        <v>50000</v>
      </c>
      <c r="F572" s="762">
        <f t="shared" si="5"/>
        <v>100000</v>
      </c>
      <c r="G572" s="469"/>
    </row>
    <row r="573" spans="1:7" ht="12" customHeight="1" x14ac:dyDescent="0.25">
      <c r="A573" s="217"/>
      <c r="B573" s="238" t="s">
        <v>285</v>
      </c>
      <c r="C573" s="205">
        <v>5</v>
      </c>
      <c r="D573" s="206" t="s">
        <v>165</v>
      </c>
      <c r="E573" s="764">
        <v>1000</v>
      </c>
      <c r="F573" s="762">
        <f t="shared" si="5"/>
        <v>5000</v>
      </c>
      <c r="G573" s="469"/>
    </row>
    <row r="574" spans="1:7" ht="12" customHeight="1" x14ac:dyDescent="0.25">
      <c r="A574" s="217"/>
      <c r="B574" s="238" t="s">
        <v>299</v>
      </c>
      <c r="C574" s="205">
        <v>1</v>
      </c>
      <c r="D574" s="206" t="s">
        <v>300</v>
      </c>
      <c r="E574" s="764">
        <v>10000</v>
      </c>
      <c r="F574" s="762">
        <f t="shared" si="5"/>
        <v>10000</v>
      </c>
      <c r="G574" s="469"/>
    </row>
    <row r="575" spans="1:7" ht="12" customHeight="1" x14ac:dyDescent="0.25">
      <c r="A575" s="258"/>
      <c r="B575" s="657" t="s">
        <v>372</v>
      </c>
      <c r="C575" s="205">
        <v>3</v>
      </c>
      <c r="D575" s="206" t="s">
        <v>110</v>
      </c>
      <c r="E575" s="764">
        <v>10000</v>
      </c>
      <c r="F575" s="762">
        <f t="shared" si="5"/>
        <v>30000</v>
      </c>
      <c r="G575" s="469"/>
    </row>
    <row r="576" spans="1:7" x14ac:dyDescent="0.25">
      <c r="A576" s="203" t="s">
        <v>1048</v>
      </c>
      <c r="B576" s="659" t="s">
        <v>304</v>
      </c>
      <c r="C576" s="205"/>
      <c r="D576" s="206"/>
      <c r="E576" s="764"/>
      <c r="F576" s="762"/>
      <c r="G576" s="469"/>
    </row>
    <row r="577" spans="1:7" ht="24" x14ac:dyDescent="0.25">
      <c r="A577" s="203" t="s">
        <v>1047</v>
      </c>
      <c r="B577" s="659" t="s">
        <v>1036</v>
      </c>
      <c r="C577" s="205"/>
      <c r="D577" s="206"/>
      <c r="E577" s="764"/>
      <c r="F577" s="762"/>
      <c r="G577" s="469"/>
    </row>
    <row r="578" spans="1:7" ht="12" customHeight="1" x14ac:dyDescent="0.25">
      <c r="A578" s="391"/>
      <c r="B578" s="395" t="s">
        <v>1907</v>
      </c>
      <c r="C578" s="205">
        <v>15</v>
      </c>
      <c r="D578" s="206" t="s">
        <v>419</v>
      </c>
      <c r="E578" s="764">
        <v>300000</v>
      </c>
      <c r="F578" s="762">
        <f t="shared" si="5"/>
        <v>4500000</v>
      </c>
      <c r="G578" s="469"/>
    </row>
    <row r="579" spans="1:7" ht="12" customHeight="1" x14ac:dyDescent="0.25">
      <c r="A579" s="391"/>
      <c r="B579" s="395" t="s">
        <v>1908</v>
      </c>
      <c r="C579" s="205">
        <v>9</v>
      </c>
      <c r="D579" s="206" t="s">
        <v>419</v>
      </c>
      <c r="E579" s="764">
        <v>300000</v>
      </c>
      <c r="F579" s="762">
        <f t="shared" si="5"/>
        <v>2700000</v>
      </c>
      <c r="G579" s="469"/>
    </row>
    <row r="580" spans="1:7" ht="12" customHeight="1" x14ac:dyDescent="0.25">
      <c r="A580" s="400"/>
      <c r="B580" s="395" t="s">
        <v>1909</v>
      </c>
      <c r="C580" s="205">
        <v>1</v>
      </c>
      <c r="D580" s="206" t="s">
        <v>419</v>
      </c>
      <c r="E580" s="764">
        <v>250000</v>
      </c>
      <c r="F580" s="762">
        <f t="shared" si="5"/>
        <v>250000</v>
      </c>
      <c r="G580" s="469"/>
    </row>
    <row r="581" spans="1:7" ht="24" x14ac:dyDescent="0.25">
      <c r="A581" s="203" t="s">
        <v>1045</v>
      </c>
      <c r="B581" s="361" t="s">
        <v>485</v>
      </c>
      <c r="C581" s="268"/>
      <c r="D581" s="295"/>
      <c r="E581" s="766"/>
      <c r="F581" s="762"/>
      <c r="G581" s="469"/>
    </row>
    <row r="582" spans="1:7" ht="24" x14ac:dyDescent="0.25">
      <c r="A582" s="203" t="s">
        <v>1126</v>
      </c>
      <c r="B582" s="361" t="s">
        <v>990</v>
      </c>
      <c r="C582" s="205"/>
      <c r="D582" s="206"/>
      <c r="E582" s="764"/>
      <c r="F582" s="762"/>
      <c r="G582" s="469"/>
    </row>
    <row r="583" spans="1:7" x14ac:dyDescent="0.25">
      <c r="A583" s="256"/>
      <c r="B583" s="659" t="s">
        <v>809</v>
      </c>
      <c r="C583" s="205"/>
      <c r="D583" s="206"/>
      <c r="E583" s="764"/>
      <c r="F583" s="762"/>
      <c r="G583" s="469"/>
    </row>
    <row r="584" spans="1:7" ht="12" customHeight="1" x14ac:dyDescent="0.25">
      <c r="A584" s="256"/>
      <c r="B584" s="657" t="s">
        <v>1029</v>
      </c>
      <c r="C584" s="205">
        <v>3</v>
      </c>
      <c r="D584" s="643" t="s">
        <v>407</v>
      </c>
      <c r="E584" s="764">
        <v>1000000</v>
      </c>
      <c r="F584" s="762">
        <f t="shared" si="5"/>
        <v>3000000</v>
      </c>
      <c r="G584" s="469"/>
    </row>
    <row r="585" spans="1:7" ht="12" customHeight="1" x14ac:dyDescent="0.25">
      <c r="A585" s="203"/>
      <c r="B585" s="657" t="s">
        <v>1028</v>
      </c>
      <c r="C585" s="205">
        <v>3</v>
      </c>
      <c r="D585" s="643" t="s">
        <v>407</v>
      </c>
      <c r="E585" s="764">
        <v>750000</v>
      </c>
      <c r="F585" s="762">
        <f t="shared" si="5"/>
        <v>2250000</v>
      </c>
      <c r="G585" s="469"/>
    </row>
    <row r="586" spans="1:7" ht="12" customHeight="1" x14ac:dyDescent="0.25">
      <c r="A586" s="256"/>
      <c r="B586" s="657" t="s">
        <v>1027</v>
      </c>
      <c r="C586" s="205">
        <v>3</v>
      </c>
      <c r="D586" s="643" t="s">
        <v>407</v>
      </c>
      <c r="E586" s="764">
        <v>500000</v>
      </c>
      <c r="F586" s="762">
        <f t="shared" si="5"/>
        <v>1500000</v>
      </c>
      <c r="G586" s="469"/>
    </row>
    <row r="587" spans="1:7" x14ac:dyDescent="0.25">
      <c r="A587" s="256"/>
      <c r="B587" s="659" t="s">
        <v>1026</v>
      </c>
      <c r="C587" s="205"/>
      <c r="D587" s="206"/>
      <c r="E587" s="764"/>
      <c r="F587" s="762"/>
      <c r="G587" s="469"/>
    </row>
    <row r="588" spans="1:7" x14ac:dyDescent="0.25">
      <c r="A588" s="256"/>
      <c r="B588" s="657" t="s">
        <v>1025</v>
      </c>
      <c r="C588" s="205">
        <v>3</v>
      </c>
      <c r="D588" s="206" t="s">
        <v>138</v>
      </c>
      <c r="E588" s="764">
        <v>1200000</v>
      </c>
      <c r="F588" s="762">
        <f t="shared" si="5"/>
        <v>3600000</v>
      </c>
      <c r="G588" s="469"/>
    </row>
    <row r="589" spans="1:7" x14ac:dyDescent="0.25">
      <c r="A589" s="391"/>
      <c r="B589" s="623" t="s">
        <v>1024</v>
      </c>
      <c r="C589" s="205"/>
      <c r="D589" s="206"/>
      <c r="E589" s="764"/>
      <c r="F589" s="762"/>
      <c r="G589" s="469"/>
    </row>
    <row r="590" spans="1:7" ht="12" customHeight="1" x14ac:dyDescent="0.25">
      <c r="A590" s="257"/>
      <c r="B590" s="238" t="s">
        <v>1127</v>
      </c>
      <c r="C590" s="205">
        <v>24</v>
      </c>
      <c r="D590" s="206" t="s">
        <v>110</v>
      </c>
      <c r="E590" s="764">
        <v>5000</v>
      </c>
      <c r="F590" s="762">
        <f t="shared" si="5"/>
        <v>120000</v>
      </c>
      <c r="G590" s="469"/>
    </row>
    <row r="591" spans="1:7" ht="12" customHeight="1" x14ac:dyDescent="0.25">
      <c r="A591" s="256"/>
      <c r="B591" s="657" t="s">
        <v>1128</v>
      </c>
      <c r="C591" s="205">
        <v>9</v>
      </c>
      <c r="D591" s="206" t="s">
        <v>110</v>
      </c>
      <c r="E591" s="764">
        <v>5000</v>
      </c>
      <c r="F591" s="762">
        <f t="shared" si="5"/>
        <v>45000</v>
      </c>
      <c r="G591" s="469"/>
    </row>
    <row r="592" spans="1:7" ht="12" customHeight="1" x14ac:dyDescent="0.25">
      <c r="A592" s="256"/>
      <c r="B592" s="657" t="s">
        <v>1129</v>
      </c>
      <c r="C592" s="205">
        <v>9</v>
      </c>
      <c r="D592" s="206" t="s">
        <v>110</v>
      </c>
      <c r="E592" s="764">
        <v>5000</v>
      </c>
      <c r="F592" s="762">
        <f t="shared" si="5"/>
        <v>45000</v>
      </c>
      <c r="G592" s="469"/>
    </row>
    <row r="593" spans="1:7" x14ac:dyDescent="0.25">
      <c r="A593" s="400"/>
      <c r="B593" s="436" t="s">
        <v>471</v>
      </c>
      <c r="C593" s="869"/>
      <c r="D593" s="245"/>
      <c r="E593" s="438"/>
      <c r="F593" s="762"/>
      <c r="G593" s="870"/>
    </row>
    <row r="594" spans="1:7" ht="24.75" x14ac:dyDescent="0.25">
      <c r="A594" s="400"/>
      <c r="B594" s="436" t="s">
        <v>1130</v>
      </c>
      <c r="C594" s="214"/>
      <c r="D594" s="244"/>
      <c r="E594" s="438"/>
      <c r="F594" s="762"/>
      <c r="G594" s="870"/>
    </row>
    <row r="595" spans="1:7" x14ac:dyDescent="0.25">
      <c r="A595" s="400"/>
      <c r="B595" s="213" t="s">
        <v>1031</v>
      </c>
      <c r="C595" s="214">
        <v>1</v>
      </c>
      <c r="D595" s="244" t="s">
        <v>874</v>
      </c>
      <c r="E595" s="438">
        <v>1000000</v>
      </c>
      <c r="F595" s="762">
        <f t="shared" si="5"/>
        <v>1000000</v>
      </c>
      <c r="G595" s="870"/>
    </row>
    <row r="596" spans="1:7" ht="102" customHeight="1" x14ac:dyDescent="0.25">
      <c r="A596" s="207"/>
      <c r="B596" s="871" t="s">
        <v>1910</v>
      </c>
      <c r="C596" s="502"/>
      <c r="D596" s="502"/>
      <c r="E596" s="764"/>
      <c r="F596" s="762"/>
      <c r="G596" s="461"/>
    </row>
    <row r="597" spans="1:7" x14ac:dyDescent="0.25">
      <c r="A597" s="203" t="s">
        <v>1046</v>
      </c>
      <c r="B597" s="659" t="s">
        <v>287</v>
      </c>
      <c r="C597" s="205"/>
      <c r="D597" s="206"/>
      <c r="E597" s="764"/>
      <c r="F597" s="762"/>
      <c r="G597" s="461"/>
    </row>
    <row r="598" spans="1:7" x14ac:dyDescent="0.25">
      <c r="A598" s="203" t="s">
        <v>1054</v>
      </c>
      <c r="B598" s="659" t="s">
        <v>86</v>
      </c>
      <c r="C598" s="205"/>
      <c r="D598" s="206"/>
      <c r="E598" s="764"/>
      <c r="F598" s="762"/>
      <c r="G598" s="461"/>
    </row>
    <row r="599" spans="1:7" ht="24" x14ac:dyDescent="0.25">
      <c r="A599" s="203" t="s">
        <v>1053</v>
      </c>
      <c r="B599" s="659" t="s">
        <v>1019</v>
      </c>
      <c r="C599" s="205"/>
      <c r="D599" s="206"/>
      <c r="E599" s="764"/>
      <c r="F599" s="762"/>
      <c r="G599" s="461"/>
    </row>
    <row r="600" spans="1:7" ht="12" customHeight="1" x14ac:dyDescent="0.25">
      <c r="A600" s="207"/>
      <c r="B600" s="657" t="s">
        <v>1911</v>
      </c>
      <c r="C600" s="205">
        <f>20*5</f>
        <v>100</v>
      </c>
      <c r="D600" s="643" t="s">
        <v>407</v>
      </c>
      <c r="E600" s="764">
        <v>15000</v>
      </c>
      <c r="F600" s="762">
        <f t="shared" si="5"/>
        <v>1500000</v>
      </c>
      <c r="G600" s="461"/>
    </row>
    <row r="601" spans="1:7" ht="12" customHeight="1" x14ac:dyDescent="0.25">
      <c r="A601" s="207"/>
      <c r="B601" s="657" t="s">
        <v>1912</v>
      </c>
      <c r="C601" s="205">
        <v>20</v>
      </c>
      <c r="D601" s="643" t="s">
        <v>407</v>
      </c>
      <c r="E601" s="764">
        <v>15000</v>
      </c>
      <c r="F601" s="762">
        <f t="shared" si="5"/>
        <v>300000</v>
      </c>
      <c r="G601" s="461"/>
    </row>
    <row r="602" spans="1:7" x14ac:dyDescent="0.25">
      <c r="A602" s="203" t="s">
        <v>1052</v>
      </c>
      <c r="B602" s="659" t="s">
        <v>1018</v>
      </c>
      <c r="C602" s="205"/>
      <c r="D602" s="206"/>
      <c r="E602" s="764"/>
      <c r="F602" s="762"/>
      <c r="G602" s="461"/>
    </row>
    <row r="603" spans="1:7" x14ac:dyDescent="0.25">
      <c r="A603" s="203"/>
      <c r="B603" s="657" t="s">
        <v>605</v>
      </c>
      <c r="C603" s="205">
        <v>2</v>
      </c>
      <c r="D603" s="206" t="s">
        <v>110</v>
      </c>
      <c r="E603" s="764">
        <v>35000</v>
      </c>
      <c r="F603" s="762">
        <f t="shared" si="5"/>
        <v>70000</v>
      </c>
      <c r="G603" s="461"/>
    </row>
    <row r="604" spans="1:7" x14ac:dyDescent="0.25">
      <c r="A604" s="203"/>
      <c r="B604" s="657" t="s">
        <v>602</v>
      </c>
      <c r="C604" s="205">
        <v>2</v>
      </c>
      <c r="D604" s="206" t="s">
        <v>110</v>
      </c>
      <c r="E604" s="764">
        <v>10000</v>
      </c>
      <c r="F604" s="762">
        <f t="shared" si="5"/>
        <v>20000</v>
      </c>
      <c r="G604" s="461"/>
    </row>
    <row r="605" spans="1:7" x14ac:dyDescent="0.25">
      <c r="A605" s="203"/>
      <c r="B605" s="657" t="s">
        <v>1469</v>
      </c>
      <c r="C605" s="205">
        <v>2</v>
      </c>
      <c r="D605" s="206" t="s">
        <v>110</v>
      </c>
      <c r="E605" s="764">
        <v>6000</v>
      </c>
      <c r="F605" s="762">
        <f t="shared" si="5"/>
        <v>12000</v>
      </c>
      <c r="G605" s="461"/>
    </row>
    <row r="606" spans="1:7" x14ac:dyDescent="0.25">
      <c r="A606" s="203"/>
      <c r="B606" s="657" t="s">
        <v>1470</v>
      </c>
      <c r="C606" s="205">
        <v>2</v>
      </c>
      <c r="D606" s="206" t="s">
        <v>110</v>
      </c>
      <c r="E606" s="764">
        <v>200000</v>
      </c>
      <c r="F606" s="762">
        <f t="shared" si="5"/>
        <v>400000</v>
      </c>
      <c r="G606" s="461"/>
    </row>
    <row r="607" spans="1:7" ht="12" customHeight="1" x14ac:dyDescent="0.25">
      <c r="A607" s="207"/>
      <c r="B607" s="657" t="s">
        <v>1463</v>
      </c>
      <c r="C607" s="205">
        <v>6</v>
      </c>
      <c r="D607" s="206" t="s">
        <v>138</v>
      </c>
      <c r="E607" s="764">
        <v>300000</v>
      </c>
      <c r="F607" s="762">
        <f t="shared" si="5"/>
        <v>1800000</v>
      </c>
      <c r="G607" s="461"/>
    </row>
    <row r="608" spans="1:7" ht="12" customHeight="1" x14ac:dyDescent="0.25">
      <c r="A608" s="207"/>
      <c r="B608" s="238" t="s">
        <v>1017</v>
      </c>
      <c r="C608" s="205">
        <v>6</v>
      </c>
      <c r="D608" s="643" t="s">
        <v>407</v>
      </c>
      <c r="E608" s="764">
        <v>150000</v>
      </c>
      <c r="F608" s="762">
        <f t="shared" si="5"/>
        <v>900000</v>
      </c>
      <c r="G608" s="461"/>
    </row>
    <row r="609" spans="1:21" x14ac:dyDescent="0.25">
      <c r="A609" s="203" t="s">
        <v>1048</v>
      </c>
      <c r="B609" s="659" t="s">
        <v>511</v>
      </c>
      <c r="C609" s="268"/>
      <c r="D609" s="206"/>
      <c r="E609" s="764"/>
      <c r="F609" s="762"/>
      <c r="G609" s="461"/>
    </row>
    <row r="610" spans="1:21" x14ac:dyDescent="0.25">
      <c r="A610" s="203" t="s">
        <v>1047</v>
      </c>
      <c r="B610" s="361" t="s">
        <v>1131</v>
      </c>
      <c r="C610" s="268"/>
      <c r="D610" s="206"/>
      <c r="E610" s="764"/>
      <c r="F610" s="762"/>
      <c r="G610" s="461"/>
    </row>
    <row r="611" spans="1:21" x14ac:dyDescent="0.25">
      <c r="A611" s="207"/>
      <c r="B611" s="657" t="s">
        <v>1913</v>
      </c>
      <c r="C611" s="205">
        <v>15</v>
      </c>
      <c r="D611" s="206" t="s">
        <v>419</v>
      </c>
      <c r="E611" s="764">
        <v>300000</v>
      </c>
      <c r="F611" s="762">
        <f t="shared" si="5"/>
        <v>4500000</v>
      </c>
      <c r="G611" s="461"/>
    </row>
    <row r="612" spans="1:21" ht="24.75" x14ac:dyDescent="0.25">
      <c r="A612" s="203" t="s">
        <v>1119</v>
      </c>
      <c r="B612" s="436" t="s">
        <v>1056</v>
      </c>
      <c r="C612" s="214"/>
      <c r="D612" s="244"/>
      <c r="E612" s="215"/>
      <c r="F612" s="762"/>
      <c r="G612" s="767"/>
    </row>
    <row r="613" spans="1:21" ht="12" customHeight="1" x14ac:dyDescent="0.25">
      <c r="A613" s="203"/>
      <c r="B613" s="217" t="s">
        <v>188</v>
      </c>
      <c r="C613" s="214">
        <v>1</v>
      </c>
      <c r="D613" s="643" t="s">
        <v>407</v>
      </c>
      <c r="E613" s="215">
        <v>300000</v>
      </c>
      <c r="F613" s="762">
        <f t="shared" si="5"/>
        <v>300000</v>
      </c>
      <c r="G613" s="767"/>
    </row>
    <row r="614" spans="1:21" ht="12" customHeight="1" x14ac:dyDescent="0.25">
      <c r="A614" s="203"/>
      <c r="B614" s="217" t="s">
        <v>189</v>
      </c>
      <c r="C614" s="214">
        <v>1</v>
      </c>
      <c r="D614" s="643" t="s">
        <v>407</v>
      </c>
      <c r="E614" s="215">
        <v>250000</v>
      </c>
      <c r="F614" s="762">
        <f t="shared" si="5"/>
        <v>250000</v>
      </c>
      <c r="G614" s="767"/>
    </row>
    <row r="615" spans="1:21" ht="12" customHeight="1" x14ac:dyDescent="0.25">
      <c r="A615" s="203"/>
      <c r="B615" s="217" t="s">
        <v>352</v>
      </c>
      <c r="C615" s="214">
        <v>3</v>
      </c>
      <c r="D615" s="643" t="s">
        <v>407</v>
      </c>
      <c r="E615" s="215">
        <v>200000</v>
      </c>
      <c r="F615" s="762">
        <f t="shared" si="5"/>
        <v>600000</v>
      </c>
      <c r="G615" s="767"/>
    </row>
    <row r="616" spans="1:21" ht="24" x14ac:dyDescent="0.25">
      <c r="A616" s="203" t="s">
        <v>1045</v>
      </c>
      <c r="B616" s="659" t="s">
        <v>485</v>
      </c>
      <c r="C616" s="205"/>
      <c r="D616" s="206"/>
      <c r="E616" s="764"/>
      <c r="F616" s="762"/>
      <c r="G616" s="461"/>
    </row>
    <row r="617" spans="1:21" x14ac:dyDescent="0.25">
      <c r="A617" s="203" t="s">
        <v>1044</v>
      </c>
      <c r="B617" s="872" t="s">
        <v>1914</v>
      </c>
      <c r="C617" s="205">
        <v>6</v>
      </c>
      <c r="D617" s="206" t="s">
        <v>407</v>
      </c>
      <c r="E617" s="764">
        <v>50000</v>
      </c>
      <c r="F617" s="762">
        <f>C617*E617</f>
        <v>300000</v>
      </c>
      <c r="G617" s="461"/>
    </row>
    <row r="618" spans="1:21" x14ac:dyDescent="0.25">
      <c r="A618" s="242"/>
      <c r="B618" s="242"/>
      <c r="C618" s="474"/>
      <c r="D618" s="503"/>
      <c r="E618" s="242"/>
      <c r="F618" s="242"/>
      <c r="G618" s="242"/>
    </row>
    <row r="619" spans="1:21" ht="24.75" x14ac:dyDescent="0.25">
      <c r="A619" s="242"/>
      <c r="B619" s="1896" t="s">
        <v>26</v>
      </c>
      <c r="C619" s="1897"/>
      <c r="D619" s="1897"/>
      <c r="E619" s="1898"/>
      <c r="F619" s="768">
        <f>SUM(F558:F617)</f>
        <v>35874000</v>
      </c>
      <c r="G619" s="463" t="s">
        <v>2571</v>
      </c>
      <c r="U619" s="32">
        <f>F619</f>
        <v>35874000</v>
      </c>
    </row>
    <row r="620" spans="1:21" s="444" customFormat="1" ht="12" x14ac:dyDescent="0.2">
      <c r="A620" s="1762" t="s">
        <v>549</v>
      </c>
      <c r="B620" s="1762"/>
      <c r="C620" s="188" t="s">
        <v>27</v>
      </c>
      <c r="D620" s="1763" t="s">
        <v>1429</v>
      </c>
      <c r="E620" s="1763"/>
      <c r="F620" s="1763"/>
      <c r="G620" s="188"/>
    </row>
    <row r="621" spans="1:21" s="444" customFormat="1" ht="12" x14ac:dyDescent="0.2">
      <c r="A621" s="1762" t="s">
        <v>28</v>
      </c>
      <c r="B621" s="1762"/>
      <c r="C621" s="188"/>
      <c r="D621" s="1764" t="s">
        <v>2834</v>
      </c>
      <c r="E621" s="1764"/>
      <c r="F621" s="1764"/>
      <c r="G621" s="188"/>
    </row>
    <row r="622" spans="1:21" s="444" customFormat="1" ht="12" x14ac:dyDescent="0.2">
      <c r="A622" s="186"/>
      <c r="B622" s="187"/>
      <c r="C622" s="188"/>
      <c r="D622" s="189"/>
      <c r="E622" s="218"/>
      <c r="F622" s="218"/>
      <c r="G622" s="188"/>
    </row>
    <row r="623" spans="1:21" s="444" customFormat="1" ht="12" x14ac:dyDescent="0.2">
      <c r="A623" s="186"/>
      <c r="B623" s="187"/>
      <c r="C623" s="188"/>
      <c r="D623" s="189"/>
      <c r="E623" s="218"/>
      <c r="F623" s="218"/>
      <c r="G623" s="188"/>
    </row>
    <row r="624" spans="1:21" s="444" customFormat="1" ht="12" x14ac:dyDescent="0.2">
      <c r="A624" s="1762"/>
      <c r="B624" s="1762"/>
      <c r="C624" s="188"/>
      <c r="D624" s="189"/>
      <c r="E624" s="1762"/>
      <c r="F624" s="1762"/>
      <c r="G624" s="188"/>
    </row>
    <row r="625" spans="1:7" s="444" customFormat="1" ht="12" x14ac:dyDescent="0.2">
      <c r="A625" s="1762" t="s">
        <v>29</v>
      </c>
      <c r="B625" s="1762"/>
      <c r="C625" s="188"/>
      <c r="D625" s="1762" t="s">
        <v>2993</v>
      </c>
      <c r="E625" s="1762"/>
      <c r="F625" s="1762"/>
      <c r="G625" s="188"/>
    </row>
    <row r="626" spans="1:7" x14ac:dyDescent="0.25">
      <c r="A626" s="1866" t="s">
        <v>0</v>
      </c>
      <c r="B626" s="1866"/>
      <c r="C626" s="1866"/>
      <c r="D626" s="1866"/>
      <c r="E626" s="1866"/>
      <c r="F626" s="1866"/>
      <c r="G626" s="1866"/>
    </row>
    <row r="627" spans="1:7" x14ac:dyDescent="0.25">
      <c r="A627" s="1866" t="s">
        <v>1</v>
      </c>
      <c r="B627" s="1866"/>
      <c r="C627" s="1866"/>
      <c r="D627" s="1866"/>
      <c r="E627" s="1866"/>
      <c r="F627" s="1866"/>
      <c r="G627" s="1866"/>
    </row>
    <row r="628" spans="1:7" x14ac:dyDescent="0.25">
      <c r="A628" s="1866" t="s">
        <v>1769</v>
      </c>
      <c r="B628" s="1866"/>
      <c r="C628" s="1866"/>
      <c r="D628" s="1866"/>
      <c r="E628" s="1866"/>
      <c r="F628" s="1866"/>
      <c r="G628" s="1866"/>
    </row>
    <row r="629" spans="1:7" x14ac:dyDescent="0.25">
      <c r="A629" s="753"/>
      <c r="B629" s="753"/>
      <c r="C629" s="753"/>
      <c r="D629" s="753"/>
      <c r="E629" s="753"/>
      <c r="F629" s="753"/>
      <c r="G629" s="754"/>
    </row>
    <row r="630" spans="1:7" x14ac:dyDescent="0.25">
      <c r="A630" s="263" t="s">
        <v>261</v>
      </c>
      <c r="B630" s="263" t="s">
        <v>911</v>
      </c>
      <c r="C630" s="263"/>
      <c r="D630" s="263"/>
      <c r="E630" s="190" t="s">
        <v>6</v>
      </c>
      <c r="F630" s="585" t="s">
        <v>63</v>
      </c>
      <c r="G630" s="873"/>
    </row>
    <row r="631" spans="1:7" x14ac:dyDescent="0.25">
      <c r="A631" s="263" t="s">
        <v>262</v>
      </c>
      <c r="B631" s="874" t="s">
        <v>1123</v>
      </c>
      <c r="C631" s="263"/>
      <c r="D631" s="263"/>
      <c r="E631" s="558" t="s">
        <v>515</v>
      </c>
      <c r="F631" s="586" t="s">
        <v>63</v>
      </c>
      <c r="G631" s="873"/>
    </row>
    <row r="632" spans="1:7" ht="79.5" customHeight="1" x14ac:dyDescent="0.25">
      <c r="A632" s="875" t="s">
        <v>263</v>
      </c>
      <c r="B632" s="876" t="s">
        <v>1915</v>
      </c>
      <c r="C632" s="876"/>
      <c r="D632" s="876"/>
      <c r="E632" s="265"/>
      <c r="F632" s="817"/>
      <c r="G632" s="873"/>
    </row>
    <row r="633" spans="1:7" x14ac:dyDescent="0.25">
      <c r="A633" s="226" t="s">
        <v>60</v>
      </c>
      <c r="B633" s="226" t="s">
        <v>61</v>
      </c>
      <c r="C633" s="226"/>
      <c r="D633" s="188"/>
      <c r="E633" s="188"/>
      <c r="F633" s="756"/>
      <c r="G633" s="873"/>
    </row>
    <row r="634" spans="1:7" x14ac:dyDescent="0.25">
      <c r="A634" s="226" t="s">
        <v>62</v>
      </c>
      <c r="B634" s="226" t="s">
        <v>63</v>
      </c>
      <c r="C634" s="226"/>
      <c r="D634" s="1763"/>
      <c r="E634" s="1763"/>
      <c r="F634" s="756"/>
      <c r="G634" s="873"/>
    </row>
    <row r="635" spans="1:7" ht="24" x14ac:dyDescent="0.25">
      <c r="A635" s="388" t="s">
        <v>265</v>
      </c>
      <c r="B635" s="388" t="s">
        <v>11</v>
      </c>
      <c r="C635" s="1787" t="s">
        <v>12</v>
      </c>
      <c r="D635" s="1788"/>
      <c r="E635" s="707" t="s">
        <v>13</v>
      </c>
      <c r="F635" s="389" t="s">
        <v>14</v>
      </c>
      <c r="G635" s="757" t="s">
        <v>266</v>
      </c>
    </row>
    <row r="636" spans="1:7" x14ac:dyDescent="0.25">
      <c r="A636" s="198">
        <v>1</v>
      </c>
      <c r="B636" s="198">
        <v>2</v>
      </c>
      <c r="C636" s="1767">
        <v>3</v>
      </c>
      <c r="D636" s="1768"/>
      <c r="E636" s="269">
        <v>4</v>
      </c>
      <c r="F636" s="268">
        <v>5</v>
      </c>
      <c r="G636" s="39">
        <v>6</v>
      </c>
    </row>
    <row r="637" spans="1:7" ht="57.75" customHeight="1" x14ac:dyDescent="0.25">
      <c r="A637" s="877"/>
      <c r="B637" s="683" t="s">
        <v>2665</v>
      </c>
      <c r="C637" s="643"/>
      <c r="D637" s="643"/>
      <c r="E637" s="764"/>
      <c r="F637" s="762"/>
      <c r="G637" s="346"/>
    </row>
    <row r="638" spans="1:7" x14ac:dyDescent="0.25">
      <c r="A638" s="203" t="s">
        <v>1046</v>
      </c>
      <c r="B638" s="659" t="s">
        <v>287</v>
      </c>
      <c r="C638" s="205"/>
      <c r="D638" s="206"/>
      <c r="E638" s="764"/>
      <c r="F638" s="762"/>
      <c r="G638" s="346"/>
    </row>
    <row r="639" spans="1:7" x14ac:dyDescent="0.25">
      <c r="A639" s="203" t="s">
        <v>1054</v>
      </c>
      <c r="B639" s="659" t="s">
        <v>86</v>
      </c>
      <c r="C639" s="205"/>
      <c r="D639" s="206"/>
      <c r="E639" s="764"/>
      <c r="F639" s="762"/>
      <c r="G639" s="878"/>
    </row>
    <row r="640" spans="1:7" ht="24" x14ac:dyDescent="0.25">
      <c r="A640" s="203" t="s">
        <v>1053</v>
      </c>
      <c r="B640" s="659" t="s">
        <v>1019</v>
      </c>
      <c r="C640" s="205"/>
      <c r="D640" s="206"/>
      <c r="E640" s="764"/>
      <c r="F640" s="762"/>
      <c r="G640" s="878"/>
    </row>
    <row r="641" spans="1:7" ht="24" customHeight="1" x14ac:dyDescent="0.25">
      <c r="A641" s="207"/>
      <c r="B641" s="657" t="s">
        <v>1916</v>
      </c>
      <c r="C641" s="205">
        <f>15*20</f>
        <v>300</v>
      </c>
      <c r="D641" s="643" t="s">
        <v>407</v>
      </c>
      <c r="E641" s="764">
        <v>15000</v>
      </c>
      <c r="F641" s="762">
        <f>C641*E641</f>
        <v>4500000</v>
      </c>
      <c r="G641" s="878"/>
    </row>
    <row r="642" spans="1:7" ht="15" customHeight="1" x14ac:dyDescent="0.25">
      <c r="A642" s="207"/>
      <c r="B642" s="657" t="s">
        <v>1917</v>
      </c>
      <c r="C642" s="205">
        <v>50</v>
      </c>
      <c r="D642" s="643" t="s">
        <v>407</v>
      </c>
      <c r="E642" s="764">
        <v>15000</v>
      </c>
      <c r="F642" s="762">
        <f>C642*E642</f>
        <v>750000</v>
      </c>
      <c r="G642" s="878"/>
    </row>
    <row r="643" spans="1:7" x14ac:dyDescent="0.25">
      <c r="A643" s="203" t="s">
        <v>1052</v>
      </c>
      <c r="B643" s="659" t="s">
        <v>1018</v>
      </c>
      <c r="C643" s="205"/>
      <c r="D643" s="206"/>
      <c r="E643" s="764"/>
      <c r="F643" s="762"/>
      <c r="G643" s="878"/>
    </row>
    <row r="644" spans="1:7" x14ac:dyDescent="0.25">
      <c r="A644" s="207"/>
      <c r="B644" s="657" t="s">
        <v>1918</v>
      </c>
      <c r="C644" s="205">
        <v>11</v>
      </c>
      <c r="D644" s="206" t="s">
        <v>138</v>
      </c>
      <c r="E644" s="764">
        <v>350000</v>
      </c>
      <c r="F644" s="762">
        <f>C644*E644</f>
        <v>3850000</v>
      </c>
      <c r="G644" s="878"/>
    </row>
    <row r="645" spans="1:7" x14ac:dyDescent="0.25">
      <c r="A645" s="207"/>
      <c r="B645" s="238" t="s">
        <v>1919</v>
      </c>
      <c r="C645" s="205">
        <v>11</v>
      </c>
      <c r="D645" s="643" t="s">
        <v>407</v>
      </c>
      <c r="E645" s="764">
        <v>150000</v>
      </c>
      <c r="F645" s="762">
        <f>C645*E645</f>
        <v>1650000</v>
      </c>
      <c r="G645" s="878"/>
    </row>
    <row r="646" spans="1:7" x14ac:dyDescent="0.25">
      <c r="A646" s="203" t="s">
        <v>1048</v>
      </c>
      <c r="B646" s="659" t="s">
        <v>511</v>
      </c>
      <c r="C646" s="268"/>
      <c r="D646" s="206"/>
      <c r="E646" s="764"/>
      <c r="F646" s="762"/>
      <c r="G646" s="878"/>
    </row>
    <row r="647" spans="1:7" ht="24" x14ac:dyDescent="0.25">
      <c r="A647" s="203" t="s">
        <v>1047</v>
      </c>
      <c r="B647" s="659" t="s">
        <v>1036</v>
      </c>
      <c r="C647" s="268"/>
      <c r="D647" s="206"/>
      <c r="E647" s="764"/>
      <c r="F647" s="762"/>
      <c r="G647" s="878"/>
    </row>
    <row r="648" spans="1:7" x14ac:dyDescent="0.25">
      <c r="A648" s="207"/>
      <c r="B648" s="657" t="s">
        <v>1920</v>
      </c>
      <c r="C648" s="205">
        <v>20</v>
      </c>
      <c r="D648" s="206" t="s">
        <v>419</v>
      </c>
      <c r="E648" s="764">
        <v>100000</v>
      </c>
      <c r="F648" s="762">
        <f>C648*E648</f>
        <v>2000000</v>
      </c>
      <c r="G648" s="878"/>
    </row>
    <row r="649" spans="1:7" ht="24" x14ac:dyDescent="0.25">
      <c r="A649" s="207"/>
      <c r="B649" s="395" t="s">
        <v>1921</v>
      </c>
      <c r="C649" s="205">
        <f>11*20</f>
        <v>220</v>
      </c>
      <c r="D649" s="206" t="s">
        <v>407</v>
      </c>
      <c r="E649" s="764">
        <v>50000</v>
      </c>
      <c r="F649" s="762">
        <f>C649*E649</f>
        <v>11000000</v>
      </c>
      <c r="G649" s="878"/>
    </row>
    <row r="650" spans="1:7" ht="24" x14ac:dyDescent="0.25">
      <c r="A650" s="203" t="s">
        <v>1045</v>
      </c>
      <c r="B650" s="659" t="s">
        <v>485</v>
      </c>
      <c r="C650" s="205"/>
      <c r="D650" s="206"/>
      <c r="E650" s="764"/>
      <c r="F650" s="762"/>
      <c r="G650" s="878"/>
    </row>
    <row r="651" spans="1:7" ht="24" x14ac:dyDescent="0.25">
      <c r="A651" s="203" t="s">
        <v>1044</v>
      </c>
      <c r="B651" s="657" t="s">
        <v>1922</v>
      </c>
      <c r="C651" s="205">
        <v>22</v>
      </c>
      <c r="D651" s="206" t="s">
        <v>407</v>
      </c>
      <c r="E651" s="764">
        <v>50000</v>
      </c>
      <c r="F651" s="762">
        <f>C651*E651</f>
        <v>1100000</v>
      </c>
      <c r="G651" s="878"/>
    </row>
    <row r="652" spans="1:7" ht="57" x14ac:dyDescent="0.25">
      <c r="A652" s="877"/>
      <c r="B652" s="858" t="s">
        <v>1923</v>
      </c>
      <c r="C652" s="643"/>
      <c r="D652" s="643"/>
      <c r="E652" s="764"/>
      <c r="F652" s="762"/>
      <c r="G652" s="878"/>
    </row>
    <row r="653" spans="1:7" x14ac:dyDescent="0.25">
      <c r="A653" s="203" t="s">
        <v>1046</v>
      </c>
      <c r="B653" s="659" t="s">
        <v>287</v>
      </c>
      <c r="C653" s="205"/>
      <c r="D653" s="206"/>
      <c r="E653" s="764"/>
      <c r="F653" s="762"/>
      <c r="G653" s="878"/>
    </row>
    <row r="654" spans="1:7" x14ac:dyDescent="0.25">
      <c r="A654" s="203" t="s">
        <v>1054</v>
      </c>
      <c r="B654" s="659" t="s">
        <v>86</v>
      </c>
      <c r="C654" s="205"/>
      <c r="D654" s="206"/>
      <c r="E654" s="764"/>
      <c r="F654" s="762"/>
      <c r="G654" s="878"/>
    </row>
    <row r="655" spans="1:7" ht="24" x14ac:dyDescent="0.25">
      <c r="A655" s="203" t="s">
        <v>1053</v>
      </c>
      <c r="B655" s="659" t="s">
        <v>1019</v>
      </c>
      <c r="C655" s="205"/>
      <c r="D655" s="206"/>
      <c r="E655" s="764"/>
      <c r="F655" s="762"/>
      <c r="G655" s="878"/>
    </row>
    <row r="656" spans="1:7" x14ac:dyDescent="0.25">
      <c r="A656" s="207"/>
      <c r="B656" s="657" t="s">
        <v>1924</v>
      </c>
      <c r="C656" s="205">
        <f>12*20</f>
        <v>240</v>
      </c>
      <c r="D656" s="643" t="s">
        <v>407</v>
      </c>
      <c r="E656" s="764">
        <v>15000</v>
      </c>
      <c r="F656" s="762">
        <f>C656*E656</f>
        <v>3600000</v>
      </c>
      <c r="G656" s="878"/>
    </row>
    <row r="657" spans="1:7" x14ac:dyDescent="0.25">
      <c r="A657" s="207"/>
      <c r="B657" s="657" t="s">
        <v>1925</v>
      </c>
      <c r="C657" s="205">
        <v>10</v>
      </c>
      <c r="D657" s="643" t="s">
        <v>407</v>
      </c>
      <c r="E657" s="764">
        <v>15000</v>
      </c>
      <c r="F657" s="762">
        <f>C657*E657</f>
        <v>150000</v>
      </c>
      <c r="G657" s="878"/>
    </row>
    <row r="658" spans="1:7" x14ac:dyDescent="0.25">
      <c r="A658" s="203" t="s">
        <v>1052</v>
      </c>
      <c r="B658" s="659" t="s">
        <v>1018</v>
      </c>
      <c r="C658" s="205"/>
      <c r="D658" s="206"/>
      <c r="E658" s="764"/>
      <c r="F658" s="762"/>
      <c r="G658" s="878"/>
    </row>
    <row r="659" spans="1:7" x14ac:dyDescent="0.25">
      <c r="A659" s="207"/>
      <c r="B659" s="657" t="s">
        <v>1918</v>
      </c>
      <c r="C659" s="205">
        <v>11</v>
      </c>
      <c r="D659" s="206" t="s">
        <v>138</v>
      </c>
      <c r="E659" s="764">
        <v>300000</v>
      </c>
      <c r="F659" s="762">
        <f>C659*E659</f>
        <v>3300000</v>
      </c>
      <c r="G659" s="878"/>
    </row>
    <row r="660" spans="1:7" x14ac:dyDescent="0.25">
      <c r="A660" s="207"/>
      <c r="B660" s="238" t="s">
        <v>1919</v>
      </c>
      <c r="C660" s="205">
        <v>11</v>
      </c>
      <c r="D660" s="643" t="s">
        <v>407</v>
      </c>
      <c r="E660" s="764">
        <v>150000</v>
      </c>
      <c r="F660" s="762">
        <f>C660*E660</f>
        <v>1650000</v>
      </c>
      <c r="G660" s="878"/>
    </row>
    <row r="661" spans="1:7" x14ac:dyDescent="0.25">
      <c r="A661" s="203" t="s">
        <v>1048</v>
      </c>
      <c r="B661" s="659" t="s">
        <v>511</v>
      </c>
      <c r="C661" s="268"/>
      <c r="D661" s="206"/>
      <c r="E661" s="764"/>
      <c r="F661" s="762"/>
      <c r="G661" s="878"/>
    </row>
    <row r="662" spans="1:7" ht="24" x14ac:dyDescent="0.25">
      <c r="A662" s="203" t="s">
        <v>1047</v>
      </c>
      <c r="B662" s="659" t="s">
        <v>1036</v>
      </c>
      <c r="C662" s="268"/>
      <c r="D662" s="206"/>
      <c r="E662" s="764"/>
      <c r="F662" s="762"/>
      <c r="G662" s="878"/>
    </row>
    <row r="663" spans="1:7" x14ac:dyDescent="0.25">
      <c r="A663" s="207"/>
      <c r="B663" s="657" t="s">
        <v>1926</v>
      </c>
      <c r="C663" s="205">
        <v>20</v>
      </c>
      <c r="D663" s="206" t="s">
        <v>419</v>
      </c>
      <c r="E663" s="764">
        <v>100000</v>
      </c>
      <c r="F663" s="762">
        <f>C663*E663</f>
        <v>2000000</v>
      </c>
      <c r="G663" s="878"/>
    </row>
    <row r="664" spans="1:7" ht="24" x14ac:dyDescent="0.25">
      <c r="A664" s="207"/>
      <c r="B664" s="395" t="s">
        <v>1921</v>
      </c>
      <c r="C664" s="205">
        <f>11*20</f>
        <v>220</v>
      </c>
      <c r="D664" s="206" t="s">
        <v>407</v>
      </c>
      <c r="E664" s="764">
        <v>50000</v>
      </c>
      <c r="F664" s="762">
        <f>C664*E664</f>
        <v>11000000</v>
      </c>
      <c r="G664" s="878"/>
    </row>
    <row r="665" spans="1:7" ht="24" x14ac:dyDescent="0.25">
      <c r="A665" s="203" t="s">
        <v>1045</v>
      </c>
      <c r="B665" s="659" t="s">
        <v>485</v>
      </c>
      <c r="C665" s="205"/>
      <c r="D665" s="206"/>
      <c r="E665" s="764"/>
      <c r="F665" s="762"/>
      <c r="G665" s="878"/>
    </row>
    <row r="666" spans="1:7" ht="24" x14ac:dyDescent="0.25">
      <c r="A666" s="203" t="s">
        <v>1044</v>
      </c>
      <c r="B666" s="657" t="s">
        <v>1927</v>
      </c>
      <c r="C666" s="205">
        <v>11</v>
      </c>
      <c r="D666" s="206" t="s">
        <v>407</v>
      </c>
      <c r="E666" s="764">
        <v>50000</v>
      </c>
      <c r="F666" s="762">
        <f>C666*E666</f>
        <v>550000</v>
      </c>
      <c r="G666" s="878"/>
    </row>
    <row r="667" spans="1:7" ht="57" x14ac:dyDescent="0.25">
      <c r="A667" s="877"/>
      <c r="B667" s="858" t="s">
        <v>1928</v>
      </c>
      <c r="C667" s="643"/>
      <c r="D667" s="643"/>
      <c r="E667" s="764"/>
      <c r="F667" s="762"/>
      <c r="G667" s="878"/>
    </row>
    <row r="668" spans="1:7" x14ac:dyDescent="0.25">
      <c r="A668" s="203" t="s">
        <v>1046</v>
      </c>
      <c r="B668" s="659" t="s">
        <v>287</v>
      </c>
      <c r="C668" s="205"/>
      <c r="D668" s="206"/>
      <c r="E668" s="764"/>
      <c r="F668" s="762"/>
      <c r="G668" s="878"/>
    </row>
    <row r="669" spans="1:7" x14ac:dyDescent="0.25">
      <c r="A669" s="203" t="s">
        <v>1054</v>
      </c>
      <c r="B669" s="659" t="s">
        <v>86</v>
      </c>
      <c r="C669" s="205"/>
      <c r="D669" s="206"/>
      <c r="E669" s="764"/>
      <c r="F669" s="762"/>
      <c r="G669" s="878"/>
    </row>
    <row r="670" spans="1:7" ht="24" x14ac:dyDescent="0.25">
      <c r="A670" s="203" t="s">
        <v>1053</v>
      </c>
      <c r="B670" s="659" t="s">
        <v>1019</v>
      </c>
      <c r="C670" s="205"/>
      <c r="D670" s="206"/>
      <c r="E670" s="764"/>
      <c r="F670" s="762"/>
      <c r="G670" s="878"/>
    </row>
    <row r="671" spans="1:7" x14ac:dyDescent="0.25">
      <c r="A671" s="207"/>
      <c r="B671" s="657" t="s">
        <v>1929</v>
      </c>
      <c r="C671" s="205">
        <v>200</v>
      </c>
      <c r="D671" s="643" t="s">
        <v>407</v>
      </c>
      <c r="E671" s="764">
        <v>15000</v>
      </c>
      <c r="F671" s="762">
        <f>C671*E671</f>
        <v>3000000</v>
      </c>
      <c r="G671" s="878"/>
    </row>
    <row r="672" spans="1:7" x14ac:dyDescent="0.25">
      <c r="A672" s="207"/>
      <c r="B672" s="657" t="s">
        <v>1930</v>
      </c>
      <c r="C672" s="205">
        <v>10</v>
      </c>
      <c r="D672" s="643" t="s">
        <v>407</v>
      </c>
      <c r="E672" s="764">
        <v>15000</v>
      </c>
      <c r="F672" s="762">
        <f>C672*E672</f>
        <v>150000</v>
      </c>
      <c r="G672" s="878"/>
    </row>
    <row r="673" spans="1:21" x14ac:dyDescent="0.25">
      <c r="A673" s="203" t="s">
        <v>1052</v>
      </c>
      <c r="B673" s="659" t="s">
        <v>1018</v>
      </c>
      <c r="C673" s="205"/>
      <c r="D673" s="206"/>
      <c r="E673" s="764"/>
      <c r="F673" s="762"/>
      <c r="G673" s="878"/>
    </row>
    <row r="674" spans="1:21" x14ac:dyDescent="0.25">
      <c r="A674" s="207"/>
      <c r="B674" s="657" t="s">
        <v>1471</v>
      </c>
      <c r="C674" s="205">
        <v>4</v>
      </c>
      <c r="D674" s="206" t="s">
        <v>138</v>
      </c>
      <c r="E674" s="764">
        <v>300000</v>
      </c>
      <c r="F674" s="762">
        <f>C674*E674</f>
        <v>1200000</v>
      </c>
      <c r="G674" s="878"/>
    </row>
    <row r="675" spans="1:21" x14ac:dyDescent="0.25">
      <c r="A675" s="207"/>
      <c r="B675" s="238" t="s">
        <v>1472</v>
      </c>
      <c r="C675" s="205">
        <v>4</v>
      </c>
      <c r="D675" s="643" t="s">
        <v>407</v>
      </c>
      <c r="E675" s="764">
        <v>150000</v>
      </c>
      <c r="F675" s="762">
        <f>C675*E675</f>
        <v>600000</v>
      </c>
      <c r="G675" s="878"/>
    </row>
    <row r="676" spans="1:21" x14ac:dyDescent="0.25">
      <c r="A676" s="203" t="s">
        <v>1048</v>
      </c>
      <c r="B676" s="659" t="s">
        <v>511</v>
      </c>
      <c r="C676" s="268"/>
      <c r="D676" s="206"/>
      <c r="E676" s="764"/>
      <c r="F676" s="762"/>
      <c r="G676" s="1"/>
    </row>
    <row r="677" spans="1:21" ht="24" x14ac:dyDescent="0.25">
      <c r="A677" s="203" t="s">
        <v>1047</v>
      </c>
      <c r="B677" s="659" t="s">
        <v>1036</v>
      </c>
      <c r="C677" s="268"/>
      <c r="D677" s="206"/>
      <c r="E677" s="764"/>
      <c r="F677" s="762"/>
      <c r="G677" s="1"/>
    </row>
    <row r="678" spans="1:21" x14ac:dyDescent="0.25">
      <c r="A678" s="207"/>
      <c r="B678" s="657" t="s">
        <v>1926</v>
      </c>
      <c r="C678" s="205">
        <v>20</v>
      </c>
      <c r="D678" s="206" t="s">
        <v>419</v>
      </c>
      <c r="E678" s="764">
        <v>100000</v>
      </c>
      <c r="F678" s="762">
        <f>C678*E678</f>
        <v>2000000</v>
      </c>
      <c r="G678" s="1"/>
    </row>
    <row r="679" spans="1:21" ht="24" x14ac:dyDescent="0.25">
      <c r="A679" s="207"/>
      <c r="B679" s="395" t="s">
        <v>1931</v>
      </c>
      <c r="C679" s="205">
        <v>80</v>
      </c>
      <c r="D679" s="206" t="s">
        <v>407</v>
      </c>
      <c r="E679" s="764">
        <v>50000</v>
      </c>
      <c r="F679" s="762">
        <f>C679*E679</f>
        <v>4000000</v>
      </c>
      <c r="G679" s="461"/>
    </row>
    <row r="680" spans="1:21" ht="24" x14ac:dyDescent="0.25">
      <c r="A680" s="203" t="s">
        <v>1045</v>
      </c>
      <c r="B680" s="659" t="s">
        <v>485</v>
      </c>
      <c r="C680" s="205"/>
      <c r="D680" s="206"/>
      <c r="E680" s="764"/>
      <c r="F680" s="762"/>
      <c r="G680" s="461"/>
    </row>
    <row r="681" spans="1:21" ht="24" x14ac:dyDescent="0.25">
      <c r="A681" s="203" t="s">
        <v>1044</v>
      </c>
      <c r="B681" s="657" t="s">
        <v>1932</v>
      </c>
      <c r="C681" s="205">
        <v>4</v>
      </c>
      <c r="D681" s="206" t="s">
        <v>407</v>
      </c>
      <c r="E681" s="764">
        <v>50000</v>
      </c>
      <c r="F681" s="762">
        <f>C681*E681</f>
        <v>200000</v>
      </c>
      <c r="G681" s="461"/>
    </row>
    <row r="682" spans="1:21" ht="24.75" x14ac:dyDescent="0.25">
      <c r="A682" s="203" t="s">
        <v>1119</v>
      </c>
      <c r="B682" s="436" t="s">
        <v>1056</v>
      </c>
      <c r="C682" s="214"/>
      <c r="D682" s="244"/>
      <c r="E682" s="215"/>
      <c r="F682" s="762"/>
      <c r="G682" s="4"/>
    </row>
    <row r="683" spans="1:21" x14ac:dyDescent="0.25">
      <c r="A683" s="203"/>
      <c r="B683" s="217" t="s">
        <v>188</v>
      </c>
      <c r="C683" s="214">
        <v>1</v>
      </c>
      <c r="D683" s="643" t="s">
        <v>407</v>
      </c>
      <c r="E683" s="215">
        <v>300000</v>
      </c>
      <c r="F683" s="762">
        <f>C683*E683</f>
        <v>300000</v>
      </c>
      <c r="G683" s="4"/>
    </row>
    <row r="684" spans="1:21" x14ac:dyDescent="0.25">
      <c r="A684" s="203"/>
      <c r="B684" s="217" t="s">
        <v>189</v>
      </c>
      <c r="C684" s="214">
        <v>1</v>
      </c>
      <c r="D684" s="643" t="s">
        <v>407</v>
      </c>
      <c r="E684" s="215">
        <v>250000</v>
      </c>
      <c r="F684" s="762">
        <f>C684*E684</f>
        <v>250000</v>
      </c>
      <c r="G684" s="4"/>
      <c r="H684" s="32">
        <f>SUM(F683:F685)</f>
        <v>1150000</v>
      </c>
    </row>
    <row r="685" spans="1:21" x14ac:dyDescent="0.25">
      <c r="A685" s="203"/>
      <c r="B685" s="217" t="s">
        <v>352</v>
      </c>
      <c r="C685" s="214">
        <v>3</v>
      </c>
      <c r="D685" s="643" t="s">
        <v>407</v>
      </c>
      <c r="E685" s="215">
        <v>200000</v>
      </c>
      <c r="F685" s="762">
        <f>C685*E685</f>
        <v>600000</v>
      </c>
      <c r="G685" s="4"/>
    </row>
    <row r="686" spans="1:21" x14ac:dyDescent="0.25">
      <c r="A686" s="563"/>
      <c r="B686" s="563"/>
      <c r="C686" s="879"/>
      <c r="D686" s="562"/>
      <c r="E686" s="563"/>
      <c r="F686" s="563"/>
      <c r="G686" s="563"/>
    </row>
    <row r="687" spans="1:21" ht="45" x14ac:dyDescent="0.25">
      <c r="A687" s="563"/>
      <c r="B687" s="1875" t="s">
        <v>26</v>
      </c>
      <c r="C687" s="1876"/>
      <c r="D687" s="1876"/>
      <c r="E687" s="1877"/>
      <c r="F687" s="477">
        <f>SUM(F641:F686)</f>
        <v>59400000</v>
      </c>
      <c r="G687" s="346" t="s">
        <v>2598</v>
      </c>
      <c r="U687" s="32">
        <f>F687</f>
        <v>59400000</v>
      </c>
    </row>
    <row r="688" spans="1:21" s="444" customFormat="1" ht="12" x14ac:dyDescent="0.2">
      <c r="A688" s="1762" t="s">
        <v>549</v>
      </c>
      <c r="B688" s="1762"/>
      <c r="C688" s="188" t="s">
        <v>27</v>
      </c>
      <c r="D688" s="1763" t="s">
        <v>1429</v>
      </c>
      <c r="E688" s="1763"/>
      <c r="F688" s="1763"/>
      <c r="G688" s="188"/>
    </row>
    <row r="689" spans="1:7" s="444" customFormat="1" ht="12" x14ac:dyDescent="0.2">
      <c r="A689" s="1762" t="s">
        <v>28</v>
      </c>
      <c r="B689" s="1762"/>
      <c r="C689" s="188"/>
      <c r="D689" s="1764" t="s">
        <v>2834</v>
      </c>
      <c r="E689" s="1764"/>
      <c r="F689" s="1764"/>
      <c r="G689" s="188"/>
    </row>
    <row r="690" spans="1:7" s="444" customFormat="1" ht="12" x14ac:dyDescent="0.2">
      <c r="A690" s="186"/>
      <c r="B690" s="187"/>
      <c r="C690" s="188"/>
      <c r="D690" s="189"/>
      <c r="E690" s="218"/>
      <c r="F690" s="218"/>
      <c r="G690" s="188"/>
    </row>
    <row r="691" spans="1:7" s="444" customFormat="1" ht="12" x14ac:dyDescent="0.2">
      <c r="A691" s="186"/>
      <c r="B691" s="187"/>
      <c r="C691" s="188"/>
      <c r="D691" s="189"/>
      <c r="E691" s="218"/>
      <c r="F691" s="218"/>
      <c r="G691" s="188"/>
    </row>
    <row r="692" spans="1:7" s="444" customFormat="1" ht="12" x14ac:dyDescent="0.2">
      <c r="A692" s="1762"/>
      <c r="B692" s="1762"/>
      <c r="C692" s="188"/>
      <c r="D692" s="189"/>
      <c r="E692" s="1762"/>
      <c r="F692" s="1762"/>
      <c r="G692" s="188"/>
    </row>
    <row r="693" spans="1:7" s="444" customFormat="1" ht="12" x14ac:dyDescent="0.2">
      <c r="A693" s="1762" t="s">
        <v>29</v>
      </c>
      <c r="B693" s="1762"/>
      <c r="C693" s="188"/>
      <c r="D693" s="1762" t="s">
        <v>2993</v>
      </c>
      <c r="E693" s="1762"/>
      <c r="F693" s="1762"/>
      <c r="G693" s="188"/>
    </row>
    <row r="694" spans="1:7" x14ac:dyDescent="0.25">
      <c r="C694" s="94"/>
      <c r="D694" s="94"/>
    </row>
    <row r="695" spans="1:7" x14ac:dyDescent="0.25">
      <c r="F695" s="32"/>
    </row>
    <row r="696" spans="1:7" x14ac:dyDescent="0.25">
      <c r="A696" s="1765" t="s">
        <v>0</v>
      </c>
      <c r="B696" s="1765"/>
      <c r="C696" s="1765"/>
      <c r="D696" s="1765"/>
      <c r="E696" s="1765"/>
      <c r="F696" s="1765"/>
      <c r="G696" s="1765"/>
    </row>
    <row r="697" spans="1:7" x14ac:dyDescent="0.25">
      <c r="A697" s="1765" t="s">
        <v>1</v>
      </c>
      <c r="B697" s="1765"/>
      <c r="C697" s="1765"/>
      <c r="D697" s="1765"/>
      <c r="E697" s="1765"/>
      <c r="F697" s="1765"/>
      <c r="G697" s="1765"/>
    </row>
    <row r="698" spans="1:7" x14ac:dyDescent="0.25">
      <c r="A698" s="1765" t="s">
        <v>1769</v>
      </c>
      <c r="B698" s="1765"/>
      <c r="C698" s="1765"/>
      <c r="D698" s="1765"/>
      <c r="E698" s="1765"/>
      <c r="F698" s="1765"/>
      <c r="G698" s="1765"/>
    </row>
    <row r="699" spans="1:7" x14ac:dyDescent="0.25">
      <c r="A699" s="184"/>
      <c r="B699" s="184"/>
      <c r="C699" s="184"/>
      <c r="D699" s="184"/>
      <c r="E699" s="184"/>
      <c r="F699" s="184"/>
      <c r="G699" s="581"/>
    </row>
    <row r="700" spans="1:7" x14ac:dyDescent="0.25">
      <c r="A700" s="749" t="s">
        <v>491</v>
      </c>
      <c r="B700" s="749" t="s">
        <v>911</v>
      </c>
      <c r="C700" s="749"/>
      <c r="D700" s="218"/>
      <c r="E700" s="188"/>
      <c r="F700" s="218"/>
      <c r="G700" s="665"/>
    </row>
    <row r="701" spans="1:7" x14ac:dyDescent="0.25">
      <c r="A701" s="750" t="s">
        <v>921</v>
      </c>
      <c r="B701" s="225" t="s">
        <v>1539</v>
      </c>
      <c r="C701" s="225"/>
      <c r="D701" s="220"/>
      <c r="E701" s="190" t="s">
        <v>6</v>
      </c>
      <c r="F701" s="190"/>
      <c r="G701" s="665"/>
    </row>
    <row r="702" spans="1:7" x14ac:dyDescent="0.25">
      <c r="A702" s="750" t="s">
        <v>923</v>
      </c>
      <c r="B702" s="751" t="s">
        <v>1530</v>
      </c>
      <c r="C702" s="751"/>
      <c r="D702" s="220"/>
      <c r="E702" s="558" t="s">
        <v>9</v>
      </c>
      <c r="F702" s="558"/>
      <c r="G702" s="665"/>
    </row>
    <row r="703" spans="1:7" x14ac:dyDescent="0.25">
      <c r="A703" s="226" t="s">
        <v>60</v>
      </c>
      <c r="B703" s="226" t="s">
        <v>61</v>
      </c>
      <c r="C703" s="226"/>
      <c r="D703" s="188"/>
      <c r="E703" s="188"/>
      <c r="F703" s="188"/>
      <c r="G703" s="665"/>
    </row>
    <row r="704" spans="1:7" x14ac:dyDescent="0.25">
      <c r="A704" s="226" t="s">
        <v>62</v>
      </c>
      <c r="B704" s="226" t="s">
        <v>461</v>
      </c>
      <c r="C704" s="226"/>
      <c r="D704" s="1763"/>
      <c r="E704" s="1763"/>
      <c r="F704" s="188"/>
      <c r="G704" s="665"/>
    </row>
    <row r="705" spans="1:7" x14ac:dyDescent="0.25">
      <c r="A705" s="187"/>
      <c r="B705" s="187"/>
      <c r="C705" s="187"/>
      <c r="D705" s="187"/>
      <c r="E705" s="187"/>
      <c r="F705" s="187"/>
      <c r="G705" s="665"/>
    </row>
    <row r="706" spans="1:7" ht="24" x14ac:dyDescent="0.25">
      <c r="A706" s="198" t="s">
        <v>265</v>
      </c>
      <c r="B706" s="198" t="s">
        <v>11</v>
      </c>
      <c r="C706" s="1766" t="s">
        <v>12</v>
      </c>
      <c r="D706" s="1766"/>
      <c r="E706" s="267" t="s">
        <v>13</v>
      </c>
      <c r="F706" s="268" t="s">
        <v>14</v>
      </c>
      <c r="G706" s="878" t="s">
        <v>266</v>
      </c>
    </row>
    <row r="707" spans="1:7" x14ac:dyDescent="0.25">
      <c r="A707" s="198">
        <v>1</v>
      </c>
      <c r="B707" s="198">
        <v>2</v>
      </c>
      <c r="C707" s="1767">
        <v>3</v>
      </c>
      <c r="D707" s="1768"/>
      <c r="E707" s="269">
        <v>4</v>
      </c>
      <c r="F707" s="268">
        <v>5</v>
      </c>
      <c r="G707" s="833">
        <v>6</v>
      </c>
    </row>
    <row r="708" spans="1:7" x14ac:dyDescent="0.25">
      <c r="A708" s="212" t="s">
        <v>1531</v>
      </c>
      <c r="B708" s="533" t="s">
        <v>287</v>
      </c>
      <c r="C708" s="205"/>
      <c r="D708" s="206"/>
      <c r="E708" s="2"/>
      <c r="F708" s="197"/>
      <c r="G708" s="346"/>
    </row>
    <row r="709" spans="1:7" x14ac:dyDescent="0.25">
      <c r="A709" s="212" t="s">
        <v>1532</v>
      </c>
      <c r="B709" s="533" t="s">
        <v>86</v>
      </c>
      <c r="C709" s="205"/>
      <c r="D709" s="206"/>
      <c r="E709" s="2"/>
      <c r="F709" s="197"/>
      <c r="G709" s="346"/>
    </row>
    <row r="710" spans="1:7" ht="24" x14ac:dyDescent="0.25">
      <c r="A710" s="212" t="s">
        <v>1533</v>
      </c>
      <c r="B710" s="533" t="s">
        <v>317</v>
      </c>
      <c r="C710" s="205"/>
      <c r="D710" s="206"/>
      <c r="E710" s="631"/>
      <c r="F710" s="631">
        <f t="shared" ref="F710:F719" si="6">C710*E710</f>
        <v>0</v>
      </c>
      <c r="G710" s="346"/>
    </row>
    <row r="711" spans="1:7" x14ac:dyDescent="0.25">
      <c r="A711" s="212"/>
      <c r="B711" s="535" t="s">
        <v>1462</v>
      </c>
      <c r="C711" s="205">
        <v>45</v>
      </c>
      <c r="D711" s="206" t="s">
        <v>279</v>
      </c>
      <c r="E711" s="631">
        <v>15000</v>
      </c>
      <c r="F711" s="631">
        <f t="shared" si="6"/>
        <v>675000</v>
      </c>
      <c r="G711" s="346"/>
    </row>
    <row r="712" spans="1:7" ht="24" x14ac:dyDescent="0.25">
      <c r="A712" s="212"/>
      <c r="B712" s="535" t="s">
        <v>2369</v>
      </c>
      <c r="C712" s="205">
        <f>45*12</f>
        <v>540</v>
      </c>
      <c r="D712" s="206" t="s">
        <v>279</v>
      </c>
      <c r="E712" s="631">
        <v>15000</v>
      </c>
      <c r="F712" s="631">
        <f t="shared" si="6"/>
        <v>8100000</v>
      </c>
      <c r="G712" s="346"/>
    </row>
    <row r="713" spans="1:7" ht="24" x14ac:dyDescent="0.25">
      <c r="A713" s="212" t="s">
        <v>1534</v>
      </c>
      <c r="B713" s="533" t="s">
        <v>337</v>
      </c>
      <c r="C713" s="205"/>
      <c r="D713" s="206"/>
      <c r="E713" s="631"/>
      <c r="F713" s="631">
        <f t="shared" si="6"/>
        <v>0</v>
      </c>
      <c r="G713" s="346"/>
    </row>
    <row r="714" spans="1:7" x14ac:dyDescent="0.25">
      <c r="A714" s="212"/>
      <c r="B714" s="535" t="s">
        <v>338</v>
      </c>
      <c r="C714" s="205">
        <v>1</v>
      </c>
      <c r="D714" s="206" t="s">
        <v>95</v>
      </c>
      <c r="E714" s="631">
        <v>200000</v>
      </c>
      <c r="F714" s="631">
        <f t="shared" si="6"/>
        <v>200000</v>
      </c>
      <c r="G714" s="346"/>
    </row>
    <row r="715" spans="1:7" x14ac:dyDescent="0.25">
      <c r="A715" s="212" t="s">
        <v>1899</v>
      </c>
      <c r="B715" s="533" t="s">
        <v>1900</v>
      </c>
      <c r="C715" s="205"/>
      <c r="D715" s="206"/>
      <c r="E715" s="631"/>
      <c r="F715" s="631"/>
      <c r="G715" s="346"/>
    </row>
    <row r="716" spans="1:7" x14ac:dyDescent="0.25">
      <c r="A716" s="212"/>
      <c r="B716" s="535" t="s">
        <v>1901</v>
      </c>
      <c r="C716" s="205">
        <v>42</v>
      </c>
      <c r="D716" s="206" t="s">
        <v>95</v>
      </c>
      <c r="E716" s="631">
        <v>200000</v>
      </c>
      <c r="F716" s="631">
        <f>E716*C716</f>
        <v>8400000</v>
      </c>
      <c r="G716" s="346"/>
    </row>
    <row r="717" spans="1:7" x14ac:dyDescent="0.25">
      <c r="A717" s="212" t="s">
        <v>1535</v>
      </c>
      <c r="B717" s="533" t="s">
        <v>374</v>
      </c>
      <c r="C717" s="214"/>
      <c r="D717" s="407"/>
      <c r="E717" s="438"/>
      <c r="F717" s="631">
        <f t="shared" si="6"/>
        <v>0</v>
      </c>
      <c r="G717" s="346"/>
    </row>
    <row r="718" spans="1:7" ht="24" x14ac:dyDescent="0.25">
      <c r="A718" s="212" t="s">
        <v>1536</v>
      </c>
      <c r="B718" s="533" t="s">
        <v>1537</v>
      </c>
      <c r="C718" s="214"/>
      <c r="D718" s="407"/>
      <c r="E718" s="438"/>
      <c r="F718" s="631">
        <f t="shared" si="6"/>
        <v>0</v>
      </c>
      <c r="G718" s="346"/>
    </row>
    <row r="719" spans="1:7" ht="24" x14ac:dyDescent="0.25">
      <c r="A719" s="199"/>
      <c r="B719" s="238" t="s">
        <v>1538</v>
      </c>
      <c r="C719" s="214">
        <v>1</v>
      </c>
      <c r="D719" s="244" t="s">
        <v>419</v>
      </c>
      <c r="E719" s="880">
        <v>300000</v>
      </c>
      <c r="F719" s="175">
        <f t="shared" si="6"/>
        <v>300000</v>
      </c>
      <c r="G719" s="833"/>
    </row>
    <row r="720" spans="1:7" x14ac:dyDescent="0.25">
      <c r="A720" s="1427" t="s">
        <v>1889</v>
      </c>
      <c r="B720" s="1536" t="s">
        <v>471</v>
      </c>
      <c r="C720" s="1431"/>
      <c r="D720" s="1428"/>
      <c r="E720" s="1537"/>
      <c r="F720" s="1347"/>
      <c r="G720" s="1538"/>
    </row>
    <row r="721" spans="1:11" x14ac:dyDescent="0.25">
      <c r="A721" s="1427" t="s">
        <v>1890</v>
      </c>
      <c r="B721" s="1444" t="s">
        <v>1891</v>
      </c>
      <c r="C721" s="1431">
        <v>45</v>
      </c>
      <c r="D721" s="1428" t="s">
        <v>1892</v>
      </c>
      <c r="E721" s="1537">
        <v>500000</v>
      </c>
      <c r="F721" s="1347">
        <f>E721*C721</f>
        <v>22500000</v>
      </c>
      <c r="G721" s="1538"/>
      <c r="H721" t="s">
        <v>2760</v>
      </c>
    </row>
    <row r="722" spans="1:11" x14ac:dyDescent="0.25">
      <c r="A722" s="212"/>
      <c r="B722" s="217"/>
      <c r="C722" s="214"/>
      <c r="D722" s="407"/>
      <c r="E722" s="215"/>
      <c r="F722" s="368"/>
      <c r="G722" s="346"/>
    </row>
    <row r="723" spans="1:11" x14ac:dyDescent="0.25">
      <c r="A723" s="217"/>
      <c r="B723" s="1872" t="s">
        <v>26</v>
      </c>
      <c r="C723" s="1873"/>
      <c r="D723" s="1873"/>
      <c r="E723" s="1874"/>
      <c r="F723" s="452">
        <f>SUM(F711:F721)</f>
        <v>40175000</v>
      </c>
      <c r="G723" s="346" t="s">
        <v>1409</v>
      </c>
      <c r="K723" s="32">
        <f>F723</f>
        <v>40175000</v>
      </c>
    </row>
    <row r="724" spans="1:11" s="444" customFormat="1" ht="12" x14ac:dyDescent="0.2">
      <c r="A724" s="1762" t="s">
        <v>549</v>
      </c>
      <c r="B724" s="1762"/>
      <c r="C724" s="188" t="s">
        <v>27</v>
      </c>
      <c r="D724" s="1763" t="s">
        <v>1429</v>
      </c>
      <c r="E724" s="1763"/>
      <c r="F724" s="1763"/>
      <c r="G724" s="188"/>
    </row>
    <row r="725" spans="1:11" s="444" customFormat="1" ht="12" x14ac:dyDescent="0.2">
      <c r="A725" s="1762" t="s">
        <v>28</v>
      </c>
      <c r="B725" s="1762"/>
      <c r="C725" s="188"/>
      <c r="D725" s="1764" t="s">
        <v>2834</v>
      </c>
      <c r="E725" s="1764"/>
      <c r="F725" s="1764"/>
      <c r="G725" s="188"/>
    </row>
    <row r="726" spans="1:11" s="444" customFormat="1" ht="12" x14ac:dyDescent="0.2">
      <c r="A726" s="186"/>
      <c r="B726" s="187"/>
      <c r="C726" s="188"/>
      <c r="D726" s="189"/>
      <c r="E726" s="218"/>
      <c r="F726" s="218"/>
      <c r="G726" s="188"/>
    </row>
    <row r="727" spans="1:11" s="444" customFormat="1" ht="12" x14ac:dyDescent="0.2">
      <c r="A727" s="186"/>
      <c r="B727" s="187"/>
      <c r="C727" s="188"/>
      <c r="D727" s="189"/>
      <c r="E727" s="218"/>
      <c r="F727" s="218"/>
      <c r="G727" s="188"/>
    </row>
    <row r="728" spans="1:11" s="444" customFormat="1" ht="12" x14ac:dyDescent="0.2">
      <c r="A728" s="1762"/>
      <c r="B728" s="1762"/>
      <c r="C728" s="188"/>
      <c r="D728" s="189"/>
      <c r="E728" s="1762"/>
      <c r="F728" s="1762"/>
      <c r="G728" s="188"/>
    </row>
    <row r="729" spans="1:11" s="444" customFormat="1" ht="12" x14ac:dyDescent="0.2">
      <c r="A729" s="1762" t="s">
        <v>29</v>
      </c>
      <c r="B729" s="1762"/>
      <c r="C729" s="188"/>
      <c r="D729" s="1762" t="s">
        <v>2993</v>
      </c>
      <c r="E729" s="1762"/>
      <c r="F729" s="1762"/>
      <c r="G729" s="188"/>
    </row>
    <row r="730" spans="1:11" x14ac:dyDescent="0.25">
      <c r="A730" s="1765" t="s">
        <v>0</v>
      </c>
      <c r="B730" s="1765"/>
      <c r="C730" s="1765"/>
      <c r="D730" s="1765"/>
      <c r="E730" s="1765"/>
      <c r="F730" s="1765"/>
      <c r="G730" s="581"/>
    </row>
    <row r="731" spans="1:11" x14ac:dyDescent="0.25">
      <c r="A731" s="1765" t="s">
        <v>1</v>
      </c>
      <c r="B731" s="1765"/>
      <c r="C731" s="1765"/>
      <c r="D731" s="1765"/>
      <c r="E731" s="1765"/>
      <c r="F731" s="1765"/>
      <c r="G731" s="581"/>
    </row>
    <row r="732" spans="1:11" x14ac:dyDescent="0.25">
      <c r="A732" s="1882" t="s">
        <v>1769</v>
      </c>
      <c r="B732" s="1882"/>
      <c r="C732" s="1882"/>
      <c r="D732" s="1882"/>
      <c r="E732" s="1882"/>
      <c r="F732" s="1882"/>
      <c r="G732" s="581"/>
    </row>
    <row r="733" spans="1:11" x14ac:dyDescent="0.25">
      <c r="A733" s="185" t="s">
        <v>491</v>
      </c>
      <c r="B733" s="185" t="s">
        <v>985</v>
      </c>
      <c r="C733" s="185"/>
      <c r="D733" s="185"/>
      <c r="E733" s="227" t="s">
        <v>6</v>
      </c>
      <c r="F733" s="227"/>
      <c r="G733" s="881"/>
    </row>
    <row r="734" spans="1:11" x14ac:dyDescent="0.25">
      <c r="A734" s="838" t="s">
        <v>492</v>
      </c>
      <c r="B734" s="385" t="s">
        <v>986</v>
      </c>
      <c r="C734" s="185"/>
      <c r="D734" s="185"/>
      <c r="E734" s="193" t="s">
        <v>9</v>
      </c>
      <c r="F734" s="185"/>
      <c r="G734" s="430"/>
    </row>
    <row r="735" spans="1:11" ht="40.5" customHeight="1" x14ac:dyDescent="0.25">
      <c r="A735" s="838" t="s">
        <v>493</v>
      </c>
      <c r="B735" s="530" t="s">
        <v>987</v>
      </c>
      <c r="C735" s="530"/>
      <c r="D735" s="185"/>
      <c r="E735" s="185"/>
      <c r="F735" s="185"/>
      <c r="G735" s="430"/>
    </row>
    <row r="736" spans="1:11" x14ac:dyDescent="0.25">
      <c r="A736" s="185" t="s">
        <v>971</v>
      </c>
      <c r="B736" s="185" t="s">
        <v>61</v>
      </c>
      <c r="C736" s="185"/>
      <c r="D736" s="185"/>
      <c r="E736" s="185"/>
      <c r="F736" s="185"/>
      <c r="G736" s="430"/>
    </row>
    <row r="737" spans="1:14" x14ac:dyDescent="0.25">
      <c r="A737" s="185" t="s">
        <v>62</v>
      </c>
      <c r="B737" s="185" t="s">
        <v>63</v>
      </c>
      <c r="C737" s="185"/>
      <c r="D737" s="385"/>
      <c r="E737" s="431"/>
      <c r="F737" s="185"/>
      <c r="G737" s="430"/>
    </row>
    <row r="738" spans="1:14" ht="24" x14ac:dyDescent="0.25">
      <c r="A738" s="198" t="s">
        <v>30</v>
      </c>
      <c r="B738" s="198" t="s">
        <v>11</v>
      </c>
      <c r="C738" s="1767" t="s">
        <v>12</v>
      </c>
      <c r="D738" s="1768"/>
      <c r="E738" s="446" t="s">
        <v>13</v>
      </c>
      <c r="F738" s="268" t="s">
        <v>14</v>
      </c>
      <c r="G738" s="461" t="s">
        <v>34</v>
      </c>
    </row>
    <row r="739" spans="1:14" x14ac:dyDescent="0.25">
      <c r="A739" s="197">
        <v>1</v>
      </c>
      <c r="B739" s="197">
        <v>2</v>
      </c>
      <c r="C739" s="1773">
        <v>3</v>
      </c>
      <c r="D739" s="1774"/>
      <c r="E739" s="447">
        <v>4</v>
      </c>
      <c r="F739" s="205">
        <v>5</v>
      </c>
      <c r="G739" s="448">
        <v>6</v>
      </c>
    </row>
    <row r="740" spans="1:14" ht="24" x14ac:dyDescent="0.25">
      <c r="A740" s="391" t="s">
        <v>1601</v>
      </c>
      <c r="B740" s="659" t="s">
        <v>485</v>
      </c>
      <c r="C740" s="419"/>
      <c r="D740" s="420"/>
      <c r="E740" s="201"/>
      <c r="F740" s="200"/>
      <c r="G740" s="369"/>
    </row>
    <row r="741" spans="1:14" x14ac:dyDescent="0.25">
      <c r="A741" s="391" t="s">
        <v>1602</v>
      </c>
      <c r="B741" s="623" t="s">
        <v>975</v>
      </c>
      <c r="C741" s="419"/>
      <c r="D741" s="420"/>
      <c r="E741" s="201"/>
      <c r="F741" s="200"/>
      <c r="G741" s="369"/>
    </row>
    <row r="742" spans="1:14" ht="24.75" x14ac:dyDescent="0.25">
      <c r="A742" s="256"/>
      <c r="B742" s="213" t="s">
        <v>1603</v>
      </c>
      <c r="C742" s="205">
        <v>21</v>
      </c>
      <c r="D742" s="206" t="s">
        <v>1604</v>
      </c>
      <c r="E742" s="631">
        <v>20000000</v>
      </c>
      <c r="F742" s="631">
        <f>E742*C742</f>
        <v>420000000</v>
      </c>
      <c r="G742" s="369"/>
    </row>
    <row r="743" spans="1:14" x14ac:dyDescent="0.25">
      <c r="A743" s="812"/>
      <c r="B743" s="217"/>
      <c r="C743" s="214"/>
      <c r="D743" s="407"/>
      <c r="E743" s="764"/>
      <c r="F743" s="882"/>
      <c r="G743" s="369"/>
    </row>
    <row r="744" spans="1:14" ht="24.75" x14ac:dyDescent="0.25">
      <c r="A744" s="1883" t="s">
        <v>26</v>
      </c>
      <c r="B744" s="1884"/>
      <c r="C744" s="1884"/>
      <c r="D744" s="1884"/>
      <c r="E744" s="1885"/>
      <c r="F744" s="595">
        <f>SUM(F742:F743)</f>
        <v>420000000</v>
      </c>
      <c r="G744" s="369" t="s">
        <v>1605</v>
      </c>
      <c r="N744" s="32">
        <f>F744</f>
        <v>420000000</v>
      </c>
    </row>
    <row r="745" spans="1:14" s="444" customFormat="1" ht="12" x14ac:dyDescent="0.2">
      <c r="A745" s="1762" t="s">
        <v>549</v>
      </c>
      <c r="B745" s="1762"/>
      <c r="C745" s="188" t="s">
        <v>27</v>
      </c>
      <c r="D745" s="1763" t="s">
        <v>1429</v>
      </c>
      <c r="E745" s="1763"/>
      <c r="F745" s="1763"/>
      <c r="G745" s="188"/>
    </row>
    <row r="746" spans="1:14" s="444" customFormat="1" ht="12" x14ac:dyDescent="0.2">
      <c r="A746" s="1762" t="s">
        <v>28</v>
      </c>
      <c r="B746" s="1762"/>
      <c r="C746" s="188"/>
      <c r="D746" s="1764" t="s">
        <v>2834</v>
      </c>
      <c r="E746" s="1764"/>
      <c r="F746" s="1764"/>
      <c r="G746" s="188"/>
    </row>
    <row r="747" spans="1:14" s="444" customFormat="1" ht="12" x14ac:dyDescent="0.2">
      <c r="A747" s="186"/>
      <c r="B747" s="187"/>
      <c r="C747" s="188"/>
      <c r="D747" s="189"/>
      <c r="E747" s="218"/>
      <c r="F747" s="218"/>
      <c r="G747" s="188"/>
    </row>
    <row r="748" spans="1:14" s="444" customFormat="1" ht="12" x14ac:dyDescent="0.2">
      <c r="A748" s="186"/>
      <c r="B748" s="187"/>
      <c r="C748" s="188"/>
      <c r="D748" s="189"/>
      <c r="E748" s="218"/>
      <c r="F748" s="218"/>
      <c r="G748" s="188"/>
    </row>
    <row r="749" spans="1:14" s="444" customFormat="1" ht="12" x14ac:dyDescent="0.2">
      <c r="A749" s="1762"/>
      <c r="B749" s="1762"/>
      <c r="C749" s="188"/>
      <c r="D749" s="189"/>
      <c r="E749" s="1762"/>
      <c r="F749" s="1762"/>
      <c r="G749" s="188"/>
    </row>
    <row r="750" spans="1:14" s="444" customFormat="1" ht="12" x14ac:dyDescent="0.2">
      <c r="A750" s="1762" t="s">
        <v>29</v>
      </c>
      <c r="B750" s="1762"/>
      <c r="C750" s="188"/>
      <c r="D750" s="1762" t="s">
        <v>2993</v>
      </c>
      <c r="E750" s="1762"/>
      <c r="F750" s="1762"/>
      <c r="G750" s="188"/>
    </row>
    <row r="751" spans="1:14" x14ac:dyDescent="0.25">
      <c r="A751" s="1765" t="s">
        <v>0</v>
      </c>
      <c r="B751" s="1765"/>
      <c r="C751" s="1765"/>
      <c r="D751" s="1765"/>
      <c r="E751" s="1765"/>
      <c r="F751" s="1765"/>
      <c r="G751" s="1765"/>
    </row>
    <row r="752" spans="1:14" x14ac:dyDescent="0.25">
      <c r="A752" s="1765" t="s">
        <v>1</v>
      </c>
      <c r="B752" s="1765"/>
      <c r="C752" s="1765"/>
      <c r="D752" s="1765"/>
      <c r="E752" s="1765"/>
      <c r="F752" s="1765"/>
      <c r="G752" s="1765"/>
    </row>
    <row r="753" spans="1:7" x14ac:dyDescent="0.25">
      <c r="A753" s="1765" t="s">
        <v>1769</v>
      </c>
      <c r="B753" s="1765"/>
      <c r="C753" s="1765"/>
      <c r="D753" s="1765"/>
      <c r="E753" s="1765"/>
      <c r="F753" s="1765"/>
      <c r="G753" s="1765"/>
    </row>
    <row r="754" spans="1:7" x14ac:dyDescent="0.25">
      <c r="A754" s="184"/>
      <c r="B754" s="184"/>
      <c r="C754" s="184"/>
      <c r="D754" s="184"/>
      <c r="E754" s="184"/>
      <c r="F754" s="184"/>
      <c r="G754" s="581"/>
    </row>
    <row r="755" spans="1:7" x14ac:dyDescent="0.25">
      <c r="A755" s="724" t="s">
        <v>261</v>
      </c>
      <c r="B755" s="724" t="s">
        <v>911</v>
      </c>
      <c r="C755" s="724"/>
      <c r="D755" s="724"/>
      <c r="E755" s="725" t="s">
        <v>6</v>
      </c>
      <c r="F755" s="725"/>
      <c r="G755" s="5"/>
    </row>
    <row r="756" spans="1:7" x14ac:dyDescent="0.25">
      <c r="A756" s="724" t="s">
        <v>262</v>
      </c>
      <c r="B756" s="724" t="s">
        <v>997</v>
      </c>
      <c r="C756" s="724"/>
      <c r="D756" s="724"/>
      <c r="E756" s="410" t="s">
        <v>329</v>
      </c>
      <c r="F756" s="724"/>
      <c r="G756" s="5"/>
    </row>
    <row r="757" spans="1:7" ht="38.25" x14ac:dyDescent="0.25">
      <c r="A757" s="706" t="s">
        <v>263</v>
      </c>
      <c r="B757" s="875" t="s">
        <v>998</v>
      </c>
      <c r="C757" s="875"/>
      <c r="D757" s="726"/>
      <c r="E757" s="726"/>
      <c r="F757" s="726"/>
      <c r="G757" s="5"/>
    </row>
    <row r="758" spans="1:7" x14ac:dyDescent="0.25">
      <c r="A758" s="724" t="s">
        <v>410</v>
      </c>
      <c r="B758" s="724" t="s">
        <v>61</v>
      </c>
      <c r="C758" s="724"/>
      <c r="D758" s="724"/>
      <c r="E758" s="724"/>
      <c r="F758" s="724"/>
      <c r="G758" s="5"/>
    </row>
    <row r="759" spans="1:7" x14ac:dyDescent="0.25">
      <c r="A759" s="724" t="s">
        <v>62</v>
      </c>
      <c r="B759" s="724" t="s">
        <v>63</v>
      </c>
      <c r="C759" s="724"/>
      <c r="D759" s="883"/>
      <c r="E759" s="884"/>
      <c r="F759" s="724"/>
      <c r="G759" s="5"/>
    </row>
    <row r="760" spans="1:7" x14ac:dyDescent="0.25">
      <c r="A760" s="187"/>
      <c r="B760" s="187"/>
      <c r="C760" s="187"/>
      <c r="D760" s="187"/>
      <c r="E760" s="187"/>
      <c r="F760" s="187"/>
      <c r="G760" s="5"/>
    </row>
    <row r="761" spans="1:7" ht="24" x14ac:dyDescent="0.25">
      <c r="A761" s="885" t="s">
        <v>575</v>
      </c>
      <c r="B761" s="885" t="s">
        <v>11</v>
      </c>
      <c r="C761" s="1878" t="s">
        <v>12</v>
      </c>
      <c r="D761" s="1878"/>
      <c r="E761" s="707" t="s">
        <v>13</v>
      </c>
      <c r="F761" s="389" t="s">
        <v>14</v>
      </c>
      <c r="G761" s="886" t="s">
        <v>266</v>
      </c>
    </row>
    <row r="762" spans="1:7" x14ac:dyDescent="0.25">
      <c r="A762" s="198">
        <v>1</v>
      </c>
      <c r="B762" s="198">
        <v>2</v>
      </c>
      <c r="C762" s="1767">
        <v>3</v>
      </c>
      <c r="D762" s="1768"/>
      <c r="E762" s="269">
        <v>4</v>
      </c>
      <c r="F762" s="268">
        <v>5</v>
      </c>
      <c r="G762" s="39">
        <v>6</v>
      </c>
    </row>
    <row r="763" spans="1:7" x14ac:dyDescent="0.25">
      <c r="A763" s="212" t="s">
        <v>999</v>
      </c>
      <c r="B763" s="887" t="s">
        <v>1000</v>
      </c>
      <c r="C763" s="433"/>
      <c r="D763" s="415"/>
      <c r="E763" s="888"/>
      <c r="F763" s="889"/>
      <c r="G763" s="4"/>
    </row>
    <row r="764" spans="1:7" x14ac:dyDescent="0.25">
      <c r="A764" s="212" t="s">
        <v>1001</v>
      </c>
      <c r="B764" s="887" t="s">
        <v>86</v>
      </c>
      <c r="C764" s="433"/>
      <c r="D764" s="415"/>
      <c r="E764" s="888"/>
      <c r="F764" s="889"/>
      <c r="G764" s="4"/>
    </row>
    <row r="765" spans="1:7" ht="24" x14ac:dyDescent="0.25">
      <c r="A765" s="212" t="s">
        <v>1002</v>
      </c>
      <c r="B765" s="533" t="s">
        <v>317</v>
      </c>
      <c r="C765" s="205"/>
      <c r="D765" s="283"/>
      <c r="E765" s="592"/>
      <c r="F765" s="890"/>
      <c r="G765" s="41"/>
    </row>
    <row r="766" spans="1:7" ht="27.75" customHeight="1" x14ac:dyDescent="0.25">
      <c r="A766" s="222"/>
      <c r="B766" s="238" t="s">
        <v>1876</v>
      </c>
      <c r="C766" s="205">
        <v>30</v>
      </c>
      <c r="D766" s="206" t="s">
        <v>407</v>
      </c>
      <c r="E766" s="764">
        <v>15000</v>
      </c>
      <c r="F766" s="891">
        <f t="shared" ref="F766:F775" si="7">E766*C766</f>
        <v>450000</v>
      </c>
      <c r="G766" s="1"/>
    </row>
    <row r="767" spans="1:7" ht="36.75" x14ac:dyDescent="0.25">
      <c r="A767" s="222"/>
      <c r="B767" s="234" t="s">
        <v>1877</v>
      </c>
      <c r="C767" s="205">
        <v>330</v>
      </c>
      <c r="D767" s="206" t="s">
        <v>279</v>
      </c>
      <c r="E767" s="764">
        <v>15000</v>
      </c>
      <c r="F767" s="891">
        <f t="shared" si="7"/>
        <v>4950000</v>
      </c>
      <c r="G767" s="4"/>
    </row>
    <row r="768" spans="1:7" ht="24.75" x14ac:dyDescent="0.25">
      <c r="A768" s="212" t="s">
        <v>1003</v>
      </c>
      <c r="B768" s="436" t="s">
        <v>337</v>
      </c>
      <c r="C768" s="205"/>
      <c r="D768" s="206"/>
      <c r="E768" s="764"/>
      <c r="F768" s="891"/>
      <c r="G768" s="4"/>
    </row>
    <row r="769" spans="1:23" x14ac:dyDescent="0.25">
      <c r="A769" s="222"/>
      <c r="B769" s="213" t="s">
        <v>338</v>
      </c>
      <c r="C769" s="205">
        <v>1</v>
      </c>
      <c r="D769" s="206" t="s">
        <v>95</v>
      </c>
      <c r="E769" s="764">
        <v>90000</v>
      </c>
      <c r="F769" s="891">
        <f t="shared" si="7"/>
        <v>90000</v>
      </c>
      <c r="G769" s="4"/>
    </row>
    <row r="770" spans="1:23" ht="24.75" x14ac:dyDescent="0.25">
      <c r="A770" s="212" t="s">
        <v>1004</v>
      </c>
      <c r="B770" s="436" t="s">
        <v>1005</v>
      </c>
      <c r="C770" s="205"/>
      <c r="D770" s="206"/>
      <c r="E770" s="764"/>
      <c r="F770" s="891"/>
      <c r="G770" s="4"/>
    </row>
    <row r="771" spans="1:23" x14ac:dyDescent="0.25">
      <c r="A771" s="222"/>
      <c r="B771" s="213" t="s">
        <v>1006</v>
      </c>
      <c r="C771" s="205">
        <v>17</v>
      </c>
      <c r="D771" s="206" t="s">
        <v>279</v>
      </c>
      <c r="E771" s="764">
        <v>600000</v>
      </c>
      <c r="F771" s="891">
        <f t="shared" si="7"/>
        <v>10200000</v>
      </c>
      <c r="G771" s="4"/>
    </row>
    <row r="772" spans="1:23" x14ac:dyDescent="0.25">
      <c r="A772" s="212" t="s">
        <v>1007</v>
      </c>
      <c r="B772" s="436" t="s">
        <v>283</v>
      </c>
      <c r="C772" s="205"/>
      <c r="D772" s="206"/>
      <c r="E772" s="764"/>
      <c r="F772" s="891"/>
      <c r="G772" s="4"/>
    </row>
    <row r="773" spans="1:23" x14ac:dyDescent="0.25">
      <c r="A773" s="217"/>
      <c r="B773" s="213" t="s">
        <v>451</v>
      </c>
      <c r="C773" s="205">
        <v>5</v>
      </c>
      <c r="D773" s="295" t="s">
        <v>95</v>
      </c>
      <c r="E773" s="764">
        <v>50000</v>
      </c>
      <c r="F773" s="891">
        <f t="shared" si="7"/>
        <v>250000</v>
      </c>
      <c r="G773" s="4"/>
    </row>
    <row r="774" spans="1:23" ht="24" x14ac:dyDescent="0.25">
      <c r="A774" s="217"/>
      <c r="B774" s="213" t="s">
        <v>285</v>
      </c>
      <c r="C774" s="205">
        <v>25</v>
      </c>
      <c r="D774" s="295" t="s">
        <v>165</v>
      </c>
      <c r="E774" s="764">
        <v>1000</v>
      </c>
      <c r="F774" s="891">
        <f t="shared" si="7"/>
        <v>25000</v>
      </c>
      <c r="G774" s="4"/>
    </row>
    <row r="775" spans="1:23" x14ac:dyDescent="0.25">
      <c r="A775" s="222"/>
      <c r="B775" s="229" t="s">
        <v>299</v>
      </c>
      <c r="C775" s="205">
        <v>1</v>
      </c>
      <c r="D775" s="206" t="s">
        <v>300</v>
      </c>
      <c r="E775" s="764">
        <v>10000</v>
      </c>
      <c r="F775" s="891">
        <f t="shared" si="7"/>
        <v>10000</v>
      </c>
      <c r="G775" s="4"/>
    </row>
    <row r="776" spans="1:23" ht="24.75" x14ac:dyDescent="0.25">
      <c r="A776" s="212" t="s">
        <v>1008</v>
      </c>
      <c r="B776" s="436" t="s">
        <v>520</v>
      </c>
      <c r="C776" s="205"/>
      <c r="D776" s="206"/>
      <c r="E776" s="764"/>
      <c r="F776" s="891"/>
      <c r="G776" s="4"/>
    </row>
    <row r="777" spans="1:23" ht="24.75" x14ac:dyDescent="0.25">
      <c r="A777" s="212" t="s">
        <v>1009</v>
      </c>
      <c r="B777" s="436" t="s">
        <v>520</v>
      </c>
      <c r="C777" s="205"/>
      <c r="D777" s="206"/>
      <c r="E777" s="764"/>
      <c r="F777" s="891"/>
      <c r="G777" s="4"/>
    </row>
    <row r="778" spans="1:23" ht="24.75" x14ac:dyDescent="0.25">
      <c r="A778" s="212"/>
      <c r="B778" s="213" t="s">
        <v>1878</v>
      </c>
      <c r="C778" s="205">
        <v>44</v>
      </c>
      <c r="D778" s="206" t="s">
        <v>106</v>
      </c>
      <c r="E778" s="764">
        <v>350000</v>
      </c>
      <c r="F778" s="891">
        <f>E778*C778</f>
        <v>15400000</v>
      </c>
      <c r="G778" s="4"/>
    </row>
    <row r="779" spans="1:23" x14ac:dyDescent="0.25">
      <c r="A779" s="222"/>
      <c r="B779" s="752"/>
      <c r="C779" s="214"/>
      <c r="D779" s="407"/>
      <c r="E779" s="426"/>
      <c r="F779" s="892"/>
      <c r="G779" s="4"/>
    </row>
    <row r="780" spans="1:23" x14ac:dyDescent="0.25">
      <c r="A780" s="433"/>
      <c r="B780" s="1879" t="s">
        <v>26</v>
      </c>
      <c r="C780" s="1880"/>
      <c r="D780" s="1880"/>
      <c r="E780" s="1881"/>
      <c r="F780" s="584">
        <f>SUM(F766:F778)</f>
        <v>31375000</v>
      </c>
      <c r="G780" s="4" t="s">
        <v>1409</v>
      </c>
      <c r="K780" s="32">
        <f>F780</f>
        <v>31375000</v>
      </c>
      <c r="L780" s="32"/>
      <c r="W780" s="32"/>
    </row>
    <row r="781" spans="1:23" s="444" customFormat="1" ht="12" x14ac:dyDescent="0.2">
      <c r="A781" s="1762" t="s">
        <v>549</v>
      </c>
      <c r="B781" s="1762"/>
      <c r="C781" s="188" t="s">
        <v>27</v>
      </c>
      <c r="D781" s="1763" t="s">
        <v>1429</v>
      </c>
      <c r="E781" s="1763"/>
      <c r="F781" s="1763"/>
      <c r="G781" s="188"/>
    </row>
    <row r="782" spans="1:23" s="444" customFormat="1" ht="12" x14ac:dyDescent="0.2">
      <c r="A782" s="1762" t="s">
        <v>28</v>
      </c>
      <c r="B782" s="1762"/>
      <c r="C782" s="188"/>
      <c r="D782" s="1764" t="s">
        <v>2834</v>
      </c>
      <c r="E782" s="1764"/>
      <c r="F782" s="1764"/>
      <c r="G782" s="188"/>
    </row>
    <row r="783" spans="1:23" s="444" customFormat="1" ht="12" x14ac:dyDescent="0.2">
      <c r="A783" s="186"/>
      <c r="B783" s="187"/>
      <c r="C783" s="188"/>
      <c r="D783" s="189"/>
      <c r="E783" s="218"/>
      <c r="F783" s="218"/>
      <c r="G783" s="188"/>
    </row>
    <row r="784" spans="1:23" s="444" customFormat="1" ht="12" x14ac:dyDescent="0.2">
      <c r="A784" s="186"/>
      <c r="B784" s="187"/>
      <c r="C784" s="188"/>
      <c r="D784" s="189"/>
      <c r="E784" s="218"/>
      <c r="F784" s="218"/>
      <c r="G784" s="188"/>
    </row>
    <row r="785" spans="1:7" s="444" customFormat="1" ht="12" x14ac:dyDescent="0.2">
      <c r="A785" s="1762"/>
      <c r="B785" s="1762"/>
      <c r="C785" s="188"/>
      <c r="D785" s="189"/>
      <c r="E785" s="1762"/>
      <c r="F785" s="1762"/>
      <c r="G785" s="188"/>
    </row>
    <row r="786" spans="1:7" s="444" customFormat="1" ht="12" x14ac:dyDescent="0.2">
      <c r="A786" s="1762" t="s">
        <v>29</v>
      </c>
      <c r="B786" s="1762"/>
      <c r="C786" s="188"/>
      <c r="D786" s="1762" t="s">
        <v>2993</v>
      </c>
      <c r="E786" s="1762"/>
      <c r="F786" s="1762"/>
      <c r="G786" s="188"/>
    </row>
    <row r="787" spans="1:7" x14ac:dyDescent="0.25">
      <c r="A787" s="1765" t="s">
        <v>0</v>
      </c>
      <c r="B787" s="1765"/>
      <c r="C787" s="1765"/>
      <c r="D787" s="1765"/>
      <c r="E787" s="1765"/>
      <c r="F787" s="1765"/>
      <c r="G787" s="1765"/>
    </row>
    <row r="788" spans="1:7" x14ac:dyDescent="0.25">
      <c r="A788" s="1765" t="s">
        <v>1</v>
      </c>
      <c r="B788" s="1765"/>
      <c r="C788" s="1765"/>
      <c r="D788" s="1765"/>
      <c r="E788" s="1765"/>
      <c r="F788" s="1765"/>
      <c r="G788" s="1765"/>
    </row>
    <row r="789" spans="1:7" x14ac:dyDescent="0.25">
      <c r="A789" s="1765" t="s">
        <v>1769</v>
      </c>
      <c r="B789" s="1765"/>
      <c r="C789" s="1765"/>
      <c r="D789" s="1765"/>
      <c r="E789" s="1765"/>
      <c r="F789" s="1765"/>
      <c r="G789" s="1765"/>
    </row>
    <row r="790" spans="1:7" x14ac:dyDescent="0.25">
      <c r="A790" s="184"/>
      <c r="B790" s="184"/>
      <c r="C790" s="184"/>
      <c r="D790" s="184"/>
      <c r="E790" s="184"/>
      <c r="F790" s="184"/>
      <c r="G790" s="581"/>
    </row>
    <row r="791" spans="1:7" x14ac:dyDescent="0.25">
      <c r="A791" s="749" t="s">
        <v>491</v>
      </c>
      <c r="B791" s="749" t="s">
        <v>911</v>
      </c>
      <c r="C791" s="749"/>
      <c r="D791" s="218"/>
      <c r="E791" s="188"/>
      <c r="F791" s="218"/>
      <c r="G791" s="5"/>
    </row>
    <row r="792" spans="1:7" x14ac:dyDescent="0.25">
      <c r="A792" s="750" t="s">
        <v>921</v>
      </c>
      <c r="B792" s="225" t="s">
        <v>1015</v>
      </c>
      <c r="C792" s="225"/>
      <c r="D792" s="220"/>
      <c r="E792" s="190" t="s">
        <v>6</v>
      </c>
      <c r="F792" s="190"/>
      <c r="G792" s="5"/>
    </row>
    <row r="793" spans="1:7" ht="25.5" x14ac:dyDescent="0.25">
      <c r="A793" s="750" t="s">
        <v>923</v>
      </c>
      <c r="B793" s="751" t="s">
        <v>1162</v>
      </c>
      <c r="C793" s="751"/>
      <c r="D793" s="220"/>
      <c r="E793" s="558" t="s">
        <v>9</v>
      </c>
      <c r="F793" s="558"/>
      <c r="G793" s="5"/>
    </row>
    <row r="794" spans="1:7" x14ac:dyDescent="0.25">
      <c r="A794" s="226" t="s">
        <v>60</v>
      </c>
      <c r="B794" s="226" t="s">
        <v>61</v>
      </c>
      <c r="C794" s="226"/>
      <c r="D794" s="188"/>
      <c r="E794" s="188"/>
      <c r="F794" s="188"/>
      <c r="G794" s="5"/>
    </row>
    <row r="795" spans="1:7" x14ac:dyDescent="0.25">
      <c r="A795" s="226" t="s">
        <v>62</v>
      </c>
      <c r="B795" s="226" t="s">
        <v>461</v>
      </c>
      <c r="C795" s="226"/>
      <c r="D795" s="1763"/>
      <c r="E795" s="1763"/>
      <c r="F795" s="188"/>
      <c r="G795" s="5"/>
    </row>
    <row r="796" spans="1:7" x14ac:dyDescent="0.25">
      <c r="A796" s="187"/>
      <c r="B796" s="187"/>
      <c r="C796" s="187"/>
      <c r="D796" s="187"/>
      <c r="E796" s="187"/>
      <c r="F796" s="187"/>
      <c r="G796" s="5"/>
    </row>
    <row r="797" spans="1:7" ht="24" x14ac:dyDescent="0.25">
      <c r="A797" s="198" t="s">
        <v>265</v>
      </c>
      <c r="B797" s="198" t="s">
        <v>11</v>
      </c>
      <c r="C797" s="1766" t="s">
        <v>12</v>
      </c>
      <c r="D797" s="1766"/>
      <c r="E797" s="267" t="s">
        <v>13</v>
      </c>
      <c r="F797" s="268" t="s">
        <v>14</v>
      </c>
      <c r="G797" s="38" t="s">
        <v>266</v>
      </c>
    </row>
    <row r="798" spans="1:7" x14ac:dyDescent="0.25">
      <c r="A798" s="198">
        <v>1</v>
      </c>
      <c r="B798" s="198">
        <v>2</v>
      </c>
      <c r="C798" s="1767">
        <v>3</v>
      </c>
      <c r="D798" s="1768"/>
      <c r="E798" s="269">
        <v>4</v>
      </c>
      <c r="F798" s="268">
        <v>5</v>
      </c>
      <c r="G798" s="39">
        <v>6</v>
      </c>
    </row>
    <row r="799" spans="1:7" x14ac:dyDescent="0.25">
      <c r="A799" s="212" t="s">
        <v>999</v>
      </c>
      <c r="B799" s="436" t="s">
        <v>495</v>
      </c>
      <c r="C799" s="205"/>
      <c r="D799" s="206"/>
      <c r="E799" s="2"/>
      <c r="F799" s="197"/>
      <c r="G799" s="4"/>
    </row>
    <row r="800" spans="1:7" x14ac:dyDescent="0.25">
      <c r="A800" s="212" t="s">
        <v>1001</v>
      </c>
      <c r="B800" s="436" t="s">
        <v>86</v>
      </c>
      <c r="C800" s="205"/>
      <c r="D800" s="206"/>
      <c r="E800" s="2"/>
      <c r="F800" s="197"/>
      <c r="G800" s="4"/>
    </row>
    <row r="801" spans="1:11" ht="24.75" x14ac:dyDescent="0.25">
      <c r="A801" s="217" t="s">
        <v>1002</v>
      </c>
      <c r="B801" s="436" t="s">
        <v>317</v>
      </c>
      <c r="C801" s="214"/>
      <c r="D801" s="407"/>
      <c r="E801" s="215"/>
      <c r="F801" s="368"/>
      <c r="G801" s="4"/>
    </row>
    <row r="802" spans="1:11" x14ac:dyDescent="0.25">
      <c r="A802" s="217"/>
      <c r="B802" s="217" t="s">
        <v>1473</v>
      </c>
      <c r="C802" s="214">
        <v>30</v>
      </c>
      <c r="D802" s="206" t="s">
        <v>407</v>
      </c>
      <c r="E802" s="215">
        <v>15000</v>
      </c>
      <c r="F802" s="368">
        <f>E802*C802</f>
        <v>450000</v>
      </c>
      <c r="G802" s="4"/>
    </row>
    <row r="803" spans="1:11" ht="24.75" x14ac:dyDescent="0.25">
      <c r="A803" s="217"/>
      <c r="B803" s="213" t="s">
        <v>2368</v>
      </c>
      <c r="C803" s="214">
        <f>12*20</f>
        <v>240</v>
      </c>
      <c r="D803" s="206" t="s">
        <v>279</v>
      </c>
      <c r="E803" s="215">
        <v>15000</v>
      </c>
      <c r="F803" s="368">
        <f>E803*C803</f>
        <v>3600000</v>
      </c>
      <c r="G803" s="4"/>
    </row>
    <row r="804" spans="1:11" ht="24.75" x14ac:dyDescent="0.25">
      <c r="A804" s="217" t="s">
        <v>1003</v>
      </c>
      <c r="B804" s="436" t="s">
        <v>337</v>
      </c>
      <c r="C804" s="214"/>
      <c r="D804" s="206"/>
      <c r="E804" s="215"/>
      <c r="F804" s="368"/>
      <c r="G804" s="4"/>
    </row>
    <row r="805" spans="1:11" x14ac:dyDescent="0.25">
      <c r="A805" s="217"/>
      <c r="B805" s="217" t="s">
        <v>338</v>
      </c>
      <c r="C805" s="214">
        <v>1</v>
      </c>
      <c r="D805" s="206" t="s">
        <v>92</v>
      </c>
      <c r="E805" s="215">
        <v>90000</v>
      </c>
      <c r="F805" s="368">
        <f>E805*C805</f>
        <v>90000</v>
      </c>
      <c r="G805" s="4"/>
    </row>
    <row r="806" spans="1:11" x14ac:dyDescent="0.25">
      <c r="A806" s="217" t="s">
        <v>1007</v>
      </c>
      <c r="B806" s="436" t="s">
        <v>283</v>
      </c>
      <c r="C806" s="214"/>
      <c r="D806" s="206"/>
      <c r="E806" s="215"/>
      <c r="F806" s="368"/>
      <c r="G806" s="4"/>
    </row>
    <row r="807" spans="1:11" x14ac:dyDescent="0.25">
      <c r="A807" s="217"/>
      <c r="B807" s="217" t="s">
        <v>451</v>
      </c>
      <c r="C807" s="214">
        <v>1</v>
      </c>
      <c r="D807" s="206" t="s">
        <v>92</v>
      </c>
      <c r="E807" s="215">
        <v>50000</v>
      </c>
      <c r="F807" s="368">
        <f>E807*C807</f>
        <v>50000</v>
      </c>
      <c r="G807" s="4"/>
    </row>
    <row r="808" spans="1:11" x14ac:dyDescent="0.25">
      <c r="A808" s="217"/>
      <c r="B808" s="217" t="s">
        <v>285</v>
      </c>
      <c r="C808" s="214">
        <v>5</v>
      </c>
      <c r="D808" s="206" t="s">
        <v>165</v>
      </c>
      <c r="E808" s="215">
        <v>1000</v>
      </c>
      <c r="F808" s="368">
        <f>E808*C808</f>
        <v>5000</v>
      </c>
      <c r="G808" s="4"/>
    </row>
    <row r="809" spans="1:11" x14ac:dyDescent="0.25">
      <c r="A809" s="217"/>
      <c r="B809" s="217" t="s">
        <v>299</v>
      </c>
      <c r="C809" s="214">
        <v>1</v>
      </c>
      <c r="D809" s="206" t="s">
        <v>300</v>
      </c>
      <c r="E809" s="215">
        <v>10000</v>
      </c>
      <c r="F809" s="368">
        <f>E809*C809</f>
        <v>10000</v>
      </c>
      <c r="G809" s="4"/>
    </row>
    <row r="810" spans="1:11" x14ac:dyDescent="0.25">
      <c r="A810" s="217" t="s">
        <v>1163</v>
      </c>
      <c r="B810" s="550" t="s">
        <v>511</v>
      </c>
      <c r="C810" s="214"/>
      <c r="D810" s="206"/>
      <c r="E810" s="231"/>
      <c r="F810" s="368"/>
      <c r="G810" s="4"/>
    </row>
    <row r="811" spans="1:11" ht="36.75" x14ac:dyDescent="0.25">
      <c r="A811" s="217" t="s">
        <v>1164</v>
      </c>
      <c r="B811" s="436" t="s">
        <v>926</v>
      </c>
      <c r="C811" s="214"/>
      <c r="D811" s="206"/>
      <c r="E811" s="231"/>
      <c r="F811" s="449"/>
      <c r="G811" s="4"/>
    </row>
    <row r="812" spans="1:11" x14ac:dyDescent="0.25">
      <c r="A812" s="217"/>
      <c r="B812" s="217" t="s">
        <v>1165</v>
      </c>
      <c r="C812" s="214">
        <v>2</v>
      </c>
      <c r="D812" s="206" t="s">
        <v>1888</v>
      </c>
      <c r="E812" s="231">
        <v>300000</v>
      </c>
      <c r="F812" s="449">
        <f>E812*C812</f>
        <v>600000</v>
      </c>
      <c r="G812" s="4"/>
    </row>
    <row r="813" spans="1:11" x14ac:dyDescent="0.25">
      <c r="A813" s="212" t="s">
        <v>1889</v>
      </c>
      <c r="B813" s="361" t="s">
        <v>471</v>
      </c>
      <c r="C813" s="214"/>
      <c r="D813" s="206"/>
      <c r="E813" s="880"/>
      <c r="F813" s="175"/>
      <c r="G813" s="4"/>
    </row>
    <row r="814" spans="1:11" x14ac:dyDescent="0.25">
      <c r="A814" s="212" t="s">
        <v>1890</v>
      </c>
      <c r="B814" s="238" t="s">
        <v>1891</v>
      </c>
      <c r="C814" s="214">
        <v>20</v>
      </c>
      <c r="D814" s="206" t="s">
        <v>1892</v>
      </c>
      <c r="E814" s="880">
        <v>500000</v>
      </c>
      <c r="F814" s="175">
        <f>E814*C814</f>
        <v>10000000</v>
      </c>
      <c r="G814" s="4"/>
    </row>
    <row r="815" spans="1:11" x14ac:dyDescent="0.25">
      <c r="A815" s="217"/>
      <c r="B815" s="752"/>
      <c r="C815" s="235"/>
      <c r="D815" s="451"/>
      <c r="E815" s="426"/>
      <c r="F815" s="367"/>
      <c r="G815" s="4"/>
    </row>
    <row r="816" spans="1:11" x14ac:dyDescent="0.25">
      <c r="A816" s="243"/>
      <c r="B816" s="1790" t="s">
        <v>26</v>
      </c>
      <c r="C816" s="1790"/>
      <c r="D816" s="1790"/>
      <c r="E816" s="1790"/>
      <c r="F816" s="368">
        <f>SUM(F802:F814)</f>
        <v>14805000</v>
      </c>
      <c r="G816" s="4" t="s">
        <v>1409</v>
      </c>
      <c r="K816" s="32">
        <f>F816</f>
        <v>14805000</v>
      </c>
    </row>
    <row r="817" spans="1:7" s="444" customFormat="1" ht="12" x14ac:dyDescent="0.2">
      <c r="A817" s="1762" t="s">
        <v>549</v>
      </c>
      <c r="B817" s="1762"/>
      <c r="C817" s="188" t="s">
        <v>27</v>
      </c>
      <c r="D817" s="1763" t="s">
        <v>1429</v>
      </c>
      <c r="E817" s="1763"/>
      <c r="F817" s="1763"/>
      <c r="G817" s="188"/>
    </row>
    <row r="818" spans="1:7" s="444" customFormat="1" ht="12" x14ac:dyDescent="0.2">
      <c r="A818" s="1762" t="s">
        <v>28</v>
      </c>
      <c r="B818" s="1762"/>
      <c r="C818" s="188"/>
      <c r="D818" s="1764" t="s">
        <v>2834</v>
      </c>
      <c r="E818" s="1764"/>
      <c r="F818" s="1764"/>
      <c r="G818" s="188"/>
    </row>
    <row r="819" spans="1:7" s="444" customFormat="1" ht="12" x14ac:dyDescent="0.2">
      <c r="A819" s="186"/>
      <c r="B819" s="187"/>
      <c r="C819" s="188"/>
      <c r="D819" s="189"/>
      <c r="E819" s="218"/>
      <c r="F819" s="218"/>
      <c r="G819" s="188"/>
    </row>
    <row r="820" spans="1:7" s="444" customFormat="1" ht="12" x14ac:dyDescent="0.2">
      <c r="A820" s="186"/>
      <c r="B820" s="187"/>
      <c r="C820" s="188"/>
      <c r="D820" s="189"/>
      <c r="E820" s="218"/>
      <c r="F820" s="218"/>
      <c r="G820" s="188"/>
    </row>
    <row r="821" spans="1:7" s="444" customFormat="1" ht="12" x14ac:dyDescent="0.2">
      <c r="A821" s="1762"/>
      <c r="B821" s="1762"/>
      <c r="C821" s="188"/>
      <c r="D821" s="189"/>
      <c r="E821" s="1762"/>
      <c r="F821" s="1762"/>
      <c r="G821" s="188"/>
    </row>
    <row r="822" spans="1:7" s="444" customFormat="1" ht="12" x14ac:dyDescent="0.2">
      <c r="A822" s="1762" t="s">
        <v>29</v>
      </c>
      <c r="B822" s="1762"/>
      <c r="C822" s="188"/>
      <c r="D822" s="1762" t="s">
        <v>2993</v>
      </c>
      <c r="E822" s="1762"/>
      <c r="F822" s="1762"/>
      <c r="G822" s="188"/>
    </row>
    <row r="823" spans="1:7" x14ac:dyDescent="0.25">
      <c r="A823" s="1813" t="s">
        <v>0</v>
      </c>
      <c r="B823" s="1813"/>
      <c r="C823" s="1813"/>
      <c r="D823" s="1813"/>
      <c r="E823" s="1813"/>
      <c r="F823" s="1813"/>
      <c r="G823" s="728"/>
    </row>
    <row r="824" spans="1:7" x14ac:dyDescent="0.25">
      <c r="A824" s="1813" t="s">
        <v>1</v>
      </c>
      <c r="B824" s="1813"/>
      <c r="C824" s="1813"/>
      <c r="D824" s="1813"/>
      <c r="E824" s="1813"/>
      <c r="F824" s="1813"/>
      <c r="G824" s="728"/>
    </row>
    <row r="825" spans="1:7" ht="15" customHeight="1" x14ac:dyDescent="0.25">
      <c r="A825" s="1813" t="s">
        <v>1769</v>
      </c>
      <c r="B825" s="1813"/>
      <c r="C825" s="1813"/>
      <c r="D825" s="1813"/>
      <c r="E825" s="1813"/>
      <c r="F825" s="1813"/>
      <c r="G825" s="728"/>
    </row>
    <row r="826" spans="1:7" x14ac:dyDescent="0.25">
      <c r="A826" s="300"/>
      <c r="B826" s="300"/>
      <c r="C826" s="300"/>
      <c r="D826" s="300"/>
      <c r="E826" s="300"/>
      <c r="F826" s="300"/>
      <c r="G826" s="728"/>
    </row>
    <row r="827" spans="1:7" x14ac:dyDescent="0.25">
      <c r="A827" s="223" t="s">
        <v>261</v>
      </c>
      <c r="B827" s="223" t="s">
        <v>911</v>
      </c>
      <c r="C827" s="223"/>
      <c r="D827" s="223"/>
      <c r="E827" s="223"/>
      <c r="F827" s="223"/>
      <c r="G827" s="665"/>
    </row>
    <row r="828" spans="1:7" x14ac:dyDescent="0.25">
      <c r="A828" s="223" t="s">
        <v>262</v>
      </c>
      <c r="B828" s="223" t="s">
        <v>937</v>
      </c>
      <c r="C828" s="223"/>
      <c r="D828" s="223"/>
      <c r="E828" s="223"/>
      <c r="F828" s="223" t="s">
        <v>6</v>
      </c>
      <c r="G828" s="665"/>
    </row>
    <row r="829" spans="1:7" ht="60" customHeight="1" x14ac:dyDescent="0.25">
      <c r="A829" s="893" t="s">
        <v>263</v>
      </c>
      <c r="B829" s="894" t="s">
        <v>1893</v>
      </c>
      <c r="C829" s="894"/>
      <c r="D829" s="894"/>
      <c r="E829" s="894"/>
      <c r="F829" s="894" t="s">
        <v>1474</v>
      </c>
      <c r="G829" s="895"/>
    </row>
    <row r="830" spans="1:7" s="896" customFormat="1" ht="30" x14ac:dyDescent="0.25">
      <c r="A830" s="895" t="s">
        <v>457</v>
      </c>
      <c r="B830" s="893" t="s">
        <v>61</v>
      </c>
      <c r="C830" s="893"/>
      <c r="D830" s="893"/>
      <c r="E830" s="893"/>
      <c r="F830" s="893"/>
      <c r="G830" s="895"/>
    </row>
    <row r="831" spans="1:7" s="896" customFormat="1" ht="30" x14ac:dyDescent="0.25">
      <c r="A831" s="897" t="s">
        <v>62</v>
      </c>
      <c r="B831" s="898" t="s">
        <v>63</v>
      </c>
      <c r="C831" s="898"/>
      <c r="D831" s="898"/>
      <c r="E831" s="898"/>
      <c r="F831" s="898"/>
      <c r="G831" s="897"/>
    </row>
    <row r="832" spans="1:7" ht="45" x14ac:dyDescent="0.25">
      <c r="A832" s="878" t="s">
        <v>265</v>
      </c>
      <c r="B832" s="878" t="s">
        <v>11</v>
      </c>
      <c r="C832" s="1870" t="s">
        <v>12</v>
      </c>
      <c r="D832" s="1871"/>
      <c r="E832" s="878" t="s">
        <v>13</v>
      </c>
      <c r="F832" s="878" t="s">
        <v>14</v>
      </c>
      <c r="G832" s="878" t="s">
        <v>266</v>
      </c>
    </row>
    <row r="833" spans="1:21" x14ac:dyDescent="0.25">
      <c r="A833" s="899">
        <v>1</v>
      </c>
      <c r="B833" s="899">
        <v>2</v>
      </c>
      <c r="C833" s="1875">
        <v>3</v>
      </c>
      <c r="D833" s="1877"/>
      <c r="E833" s="899">
        <v>4</v>
      </c>
      <c r="F833" s="899">
        <v>5</v>
      </c>
      <c r="G833" s="833">
        <v>6</v>
      </c>
    </row>
    <row r="834" spans="1:21" x14ac:dyDescent="0.25">
      <c r="A834" s="900" t="s">
        <v>1013</v>
      </c>
      <c r="B834" s="901" t="s">
        <v>287</v>
      </c>
      <c r="C834" s="902"/>
      <c r="D834" s="903"/>
      <c r="E834" s="904"/>
      <c r="F834" s="904"/>
      <c r="G834" s="346"/>
    </row>
    <row r="835" spans="1:21" x14ac:dyDescent="0.25">
      <c r="A835" s="809" t="s">
        <v>1475</v>
      </c>
      <c r="B835" s="905" t="s">
        <v>86</v>
      </c>
      <c r="C835" s="906"/>
      <c r="D835" s="907"/>
      <c r="E835" s="776"/>
      <c r="F835" s="776"/>
      <c r="G835" s="346"/>
    </row>
    <row r="836" spans="1:21" ht="26.25" x14ac:dyDescent="0.25">
      <c r="A836" s="900"/>
      <c r="B836" s="905" t="s">
        <v>738</v>
      </c>
      <c r="C836" s="902"/>
      <c r="D836" s="903"/>
      <c r="E836" s="904"/>
      <c r="F836" s="904"/>
      <c r="G836" s="346"/>
    </row>
    <row r="837" spans="1:21" ht="15.75" x14ac:dyDescent="0.25">
      <c r="A837" s="908"/>
      <c r="B837" s="776" t="s">
        <v>2779</v>
      </c>
      <c r="C837" s="909">
        <v>1</v>
      </c>
      <c r="D837" s="910" t="s">
        <v>89</v>
      </c>
      <c r="E837" s="911">
        <v>70000</v>
      </c>
      <c r="F837" s="911">
        <f>C837*E837</f>
        <v>70000</v>
      </c>
      <c r="G837" s="878" t="s">
        <v>1409</v>
      </c>
      <c r="K837" s="172">
        <f>F837</f>
        <v>70000</v>
      </c>
    </row>
    <row r="838" spans="1:21" ht="15.75" x14ac:dyDescent="0.25">
      <c r="A838" s="908"/>
      <c r="B838" s="904" t="s">
        <v>2802</v>
      </c>
      <c r="C838" s="909">
        <v>26</v>
      </c>
      <c r="D838" s="910" t="s">
        <v>95</v>
      </c>
      <c r="E838" s="911">
        <v>3600</v>
      </c>
      <c r="F838" s="911">
        <f t="shared" ref="F838:F843" si="8">C838*E838</f>
        <v>93600</v>
      </c>
      <c r="G838" s="878" t="s">
        <v>1409</v>
      </c>
      <c r="K838" s="172">
        <f t="shared" ref="K838:K854" si="9">F838</f>
        <v>93600</v>
      </c>
    </row>
    <row r="839" spans="1:21" ht="15.75" x14ac:dyDescent="0.25">
      <c r="A839" s="908"/>
      <c r="B839" s="904" t="s">
        <v>109</v>
      </c>
      <c r="C839" s="909">
        <v>26</v>
      </c>
      <c r="D839" s="910" t="s">
        <v>95</v>
      </c>
      <c r="E839" s="911">
        <v>6000</v>
      </c>
      <c r="F839" s="911">
        <f t="shared" si="8"/>
        <v>156000</v>
      </c>
      <c r="G839" s="878" t="s">
        <v>1409</v>
      </c>
      <c r="K839" s="172">
        <f t="shared" si="9"/>
        <v>156000</v>
      </c>
    </row>
    <row r="840" spans="1:21" ht="15.75" x14ac:dyDescent="0.25">
      <c r="A840" s="908"/>
      <c r="B840" s="904" t="s">
        <v>1772</v>
      </c>
      <c r="C840" s="909">
        <v>20</v>
      </c>
      <c r="D840" s="910" t="s">
        <v>95</v>
      </c>
      <c r="E840" s="911">
        <v>27000</v>
      </c>
      <c r="F840" s="911">
        <f t="shared" si="8"/>
        <v>540000</v>
      </c>
      <c r="G840" s="878" t="s">
        <v>1409</v>
      </c>
      <c r="K840" s="172">
        <f t="shared" si="9"/>
        <v>540000</v>
      </c>
    </row>
    <row r="841" spans="1:21" ht="15.75" x14ac:dyDescent="0.25">
      <c r="A841" s="908"/>
      <c r="B841" s="904" t="s">
        <v>1773</v>
      </c>
      <c r="C841" s="909">
        <v>5</v>
      </c>
      <c r="D841" s="910" t="s">
        <v>95</v>
      </c>
      <c r="E841" s="911">
        <v>8800</v>
      </c>
      <c r="F841" s="911">
        <f t="shared" si="8"/>
        <v>44000</v>
      </c>
      <c r="G841" s="878" t="s">
        <v>1409</v>
      </c>
      <c r="K841" s="172">
        <f t="shared" si="9"/>
        <v>44000</v>
      </c>
    </row>
    <row r="842" spans="1:21" ht="15.75" x14ac:dyDescent="0.25">
      <c r="A842" s="908"/>
      <c r="B842" s="904" t="s">
        <v>1260</v>
      </c>
      <c r="C842" s="909">
        <v>300</v>
      </c>
      <c r="D842" s="910" t="s">
        <v>276</v>
      </c>
      <c r="E842" s="911">
        <v>400</v>
      </c>
      <c r="F842" s="911">
        <f t="shared" si="8"/>
        <v>120000</v>
      </c>
      <c r="G842" s="878" t="s">
        <v>1409</v>
      </c>
      <c r="K842" s="172">
        <f t="shared" si="9"/>
        <v>120000</v>
      </c>
    </row>
    <row r="843" spans="1:21" ht="47.25" x14ac:dyDescent="0.25">
      <c r="A843" s="908"/>
      <c r="B843" s="904" t="s">
        <v>2984</v>
      </c>
      <c r="C843" s="909">
        <v>1</v>
      </c>
      <c r="D843" s="910" t="s">
        <v>110</v>
      </c>
      <c r="E843" s="911">
        <v>2094000</v>
      </c>
      <c r="F843" s="911">
        <f t="shared" si="8"/>
        <v>2094000</v>
      </c>
      <c r="G843" s="17" t="s">
        <v>2571</v>
      </c>
      <c r="K843" s="172"/>
      <c r="U843" s="172">
        <f>F843</f>
        <v>2094000</v>
      </c>
    </row>
    <row r="844" spans="1:21" ht="26.25" x14ac:dyDescent="0.25">
      <c r="A844" s="900" t="s">
        <v>1012</v>
      </c>
      <c r="B844" s="905" t="s">
        <v>317</v>
      </c>
      <c r="C844" s="912"/>
      <c r="D844" s="913"/>
      <c r="E844" s="914"/>
      <c r="F844" s="914"/>
      <c r="G844" s="346"/>
      <c r="K844" s="172">
        <f t="shared" si="9"/>
        <v>0</v>
      </c>
    </row>
    <row r="845" spans="1:21" x14ac:dyDescent="0.25">
      <c r="A845" s="809"/>
      <c r="B845" s="776" t="s">
        <v>1894</v>
      </c>
      <c r="C845" s="915">
        <v>40</v>
      </c>
      <c r="D845" s="916" t="s">
        <v>279</v>
      </c>
      <c r="E845" s="917">
        <v>15000</v>
      </c>
      <c r="F845" s="917">
        <f>C845*E845</f>
        <v>600000</v>
      </c>
      <c r="G845" s="878" t="s">
        <v>1409</v>
      </c>
      <c r="K845" s="172">
        <f t="shared" si="9"/>
        <v>600000</v>
      </c>
    </row>
    <row r="846" spans="1:21" ht="26.25" x14ac:dyDescent="0.25">
      <c r="A846" s="809"/>
      <c r="B846" s="776" t="s">
        <v>2367</v>
      </c>
      <c r="C846" s="915">
        <f>40*12</f>
        <v>480</v>
      </c>
      <c r="D846" s="916" t="s">
        <v>279</v>
      </c>
      <c r="E846" s="917">
        <v>15000</v>
      </c>
      <c r="F846" s="917">
        <f>E846*C846</f>
        <v>7200000</v>
      </c>
      <c r="G846" s="878" t="s">
        <v>1409</v>
      </c>
      <c r="K846" s="172">
        <f t="shared" si="9"/>
        <v>7200000</v>
      </c>
    </row>
    <row r="847" spans="1:21" ht="26.25" x14ac:dyDescent="0.25">
      <c r="A847" s="900" t="s">
        <v>1011</v>
      </c>
      <c r="B847" s="905" t="s">
        <v>337</v>
      </c>
      <c r="C847" s="912"/>
      <c r="D847" s="913"/>
      <c r="E847" s="914"/>
      <c r="F847" s="914"/>
      <c r="G847" s="346"/>
      <c r="K847" s="172">
        <f t="shared" si="9"/>
        <v>0</v>
      </c>
    </row>
    <row r="848" spans="1:21" x14ac:dyDescent="0.25">
      <c r="A848" s="900"/>
      <c r="B848" s="904" t="s">
        <v>338</v>
      </c>
      <c r="C848" s="912">
        <v>1</v>
      </c>
      <c r="D848" s="913" t="s">
        <v>95</v>
      </c>
      <c r="E848" s="914">
        <v>90000</v>
      </c>
      <c r="F848" s="914">
        <f>C848*E848</f>
        <v>90000</v>
      </c>
      <c r="G848" s="878" t="s">
        <v>1409</v>
      </c>
      <c r="K848" s="172">
        <f t="shared" si="9"/>
        <v>90000</v>
      </c>
    </row>
    <row r="849" spans="1:11" ht="26.25" x14ac:dyDescent="0.25">
      <c r="A849" s="900" t="s">
        <v>1476</v>
      </c>
      <c r="B849" s="905" t="s">
        <v>820</v>
      </c>
      <c r="C849" s="912"/>
      <c r="D849" s="913"/>
      <c r="E849" s="914"/>
      <c r="F849" s="914"/>
      <c r="G849" s="346"/>
      <c r="K849" s="172">
        <f t="shared" si="9"/>
        <v>0</v>
      </c>
    </row>
    <row r="850" spans="1:11" x14ac:dyDescent="0.25">
      <c r="A850" s="900"/>
      <c r="B850" s="904" t="s">
        <v>2775</v>
      </c>
      <c r="C850" s="912">
        <v>35</v>
      </c>
      <c r="D850" s="913" t="s">
        <v>95</v>
      </c>
      <c r="E850" s="914">
        <v>750000</v>
      </c>
      <c r="F850" s="914">
        <f>C850*E850</f>
        <v>26250000</v>
      </c>
      <c r="G850" s="878" t="s">
        <v>1409</v>
      </c>
      <c r="K850" s="172">
        <f t="shared" si="9"/>
        <v>26250000</v>
      </c>
    </row>
    <row r="851" spans="1:11" x14ac:dyDescent="0.25">
      <c r="A851" s="900" t="s">
        <v>1010</v>
      </c>
      <c r="B851" s="901" t="s">
        <v>374</v>
      </c>
      <c r="C851" s="912"/>
      <c r="D851" s="913"/>
      <c r="E851" s="914"/>
      <c r="F851" s="914"/>
      <c r="G851" s="346"/>
      <c r="K851" s="172">
        <f t="shared" si="9"/>
        <v>0</v>
      </c>
    </row>
    <row r="852" spans="1:11" ht="25.5" x14ac:dyDescent="0.25">
      <c r="A852" s="809" t="s">
        <v>1477</v>
      </c>
      <c r="B852" s="918" t="s">
        <v>1895</v>
      </c>
      <c r="C852" s="915"/>
      <c r="D852" s="916"/>
      <c r="E852" s="917"/>
      <c r="F852" s="917"/>
      <c r="G852" s="346"/>
      <c r="K852" s="172">
        <f t="shared" si="9"/>
        <v>0</v>
      </c>
    </row>
    <row r="853" spans="1:11" x14ac:dyDescent="0.25">
      <c r="A853" s="904"/>
      <c r="B853" s="904" t="s">
        <v>1896</v>
      </c>
      <c r="C853" s="912">
        <v>2</v>
      </c>
      <c r="D853" s="913" t="s">
        <v>1888</v>
      </c>
      <c r="E853" s="914">
        <v>300000</v>
      </c>
      <c r="F853" s="914">
        <f>C853*E853</f>
        <v>600000</v>
      </c>
      <c r="G853" s="878" t="s">
        <v>1409</v>
      </c>
      <c r="K853" s="172">
        <f t="shared" si="9"/>
        <v>600000</v>
      </c>
    </row>
    <row r="854" spans="1:11" x14ac:dyDescent="0.25">
      <c r="A854" s="919" t="s">
        <v>1897</v>
      </c>
      <c r="B854" s="778" t="s">
        <v>471</v>
      </c>
      <c r="C854" s="282"/>
      <c r="D854" s="278"/>
      <c r="E854" s="920"/>
      <c r="F854" s="780"/>
      <c r="G854" s="346"/>
      <c r="K854" s="172">
        <f t="shared" si="9"/>
        <v>0</v>
      </c>
    </row>
    <row r="855" spans="1:11" x14ac:dyDescent="0.25">
      <c r="A855" s="919" t="s">
        <v>1898</v>
      </c>
      <c r="B855" s="779" t="s">
        <v>1891</v>
      </c>
      <c r="C855" s="282">
        <v>40</v>
      </c>
      <c r="D855" s="278" t="s">
        <v>1892</v>
      </c>
      <c r="E855" s="920">
        <v>500000</v>
      </c>
      <c r="F855" s="780">
        <f>E855*C855</f>
        <v>20000000</v>
      </c>
      <c r="G855" s="878" t="s">
        <v>1409</v>
      </c>
      <c r="K855" s="172">
        <f>F855</f>
        <v>20000000</v>
      </c>
    </row>
    <row r="856" spans="1:11" x14ac:dyDescent="0.25">
      <c r="A856" s="904"/>
      <c r="B856" s="904"/>
      <c r="C856" s="902"/>
      <c r="D856" s="903"/>
      <c r="E856" s="914"/>
      <c r="F856" s="914"/>
      <c r="G856" s="346"/>
    </row>
    <row r="857" spans="1:11" x14ac:dyDescent="0.25">
      <c r="A857" s="904"/>
      <c r="B857" s="921" t="s">
        <v>26</v>
      </c>
      <c r="C857" s="922"/>
      <c r="D857" s="923"/>
      <c r="E857" s="924"/>
      <c r="F857" s="924">
        <f>SUM(F837:F855)</f>
        <v>57857600</v>
      </c>
      <c r="G857" s="878"/>
      <c r="K857" s="1303"/>
    </row>
    <row r="858" spans="1:11" s="444" customFormat="1" ht="12" x14ac:dyDescent="0.2">
      <c r="A858" s="1762" t="s">
        <v>549</v>
      </c>
      <c r="B858" s="1762"/>
      <c r="C858" s="188" t="s">
        <v>27</v>
      </c>
      <c r="D858" s="1763" t="s">
        <v>1429</v>
      </c>
      <c r="E858" s="1763"/>
      <c r="F858" s="1763"/>
      <c r="G858" s="188"/>
    </row>
    <row r="859" spans="1:11" s="444" customFormat="1" ht="12" x14ac:dyDescent="0.2">
      <c r="A859" s="1762" t="s">
        <v>28</v>
      </c>
      <c r="B859" s="1762"/>
      <c r="C859" s="188"/>
      <c r="D859" s="1764" t="s">
        <v>2834</v>
      </c>
      <c r="E859" s="1764"/>
      <c r="F859" s="1764"/>
      <c r="G859" s="188"/>
    </row>
    <row r="860" spans="1:11" s="444" customFormat="1" ht="12" x14ac:dyDescent="0.2">
      <c r="A860" s="186"/>
      <c r="B860" s="187"/>
      <c r="C860" s="188"/>
      <c r="D860" s="189"/>
      <c r="E860" s="218"/>
      <c r="F860" s="218"/>
      <c r="G860" s="188"/>
    </row>
    <row r="861" spans="1:11" s="444" customFormat="1" ht="12" x14ac:dyDescent="0.2">
      <c r="A861" s="186"/>
      <c r="B861" s="187"/>
      <c r="C861" s="188"/>
      <c r="D861" s="189"/>
      <c r="E861" s="218"/>
      <c r="F861" s="218"/>
      <c r="G861" s="188"/>
    </row>
    <row r="862" spans="1:11" s="444" customFormat="1" ht="12" x14ac:dyDescent="0.2">
      <c r="A862" s="1762"/>
      <c r="B862" s="1762"/>
      <c r="C862" s="188"/>
      <c r="D862" s="189"/>
      <c r="E862" s="1762"/>
      <c r="F862" s="1762"/>
      <c r="G862" s="188"/>
    </row>
    <row r="863" spans="1:11" s="444" customFormat="1" ht="12" x14ac:dyDescent="0.2">
      <c r="A863" s="1762" t="s">
        <v>29</v>
      </c>
      <c r="B863" s="1762"/>
      <c r="C863" s="188"/>
      <c r="D863" s="1762" t="s">
        <v>2993</v>
      </c>
      <c r="E863" s="1762"/>
      <c r="F863" s="1762"/>
      <c r="G863" s="188"/>
    </row>
    <row r="866" spans="1:7" ht="15.75" x14ac:dyDescent="0.25">
      <c r="A866" s="1867" t="s">
        <v>0</v>
      </c>
      <c r="B866" s="1867"/>
      <c r="C866" s="1867"/>
      <c r="D866" s="1867"/>
      <c r="E866" s="1867"/>
      <c r="F866" s="1867"/>
      <c r="G866" s="1611"/>
    </row>
    <row r="867" spans="1:7" ht="15.75" x14ac:dyDescent="0.25">
      <c r="A867" s="1867" t="s">
        <v>1</v>
      </c>
      <c r="B867" s="1867"/>
      <c r="C867" s="1867"/>
      <c r="D867" s="1867"/>
      <c r="E867" s="1867"/>
      <c r="F867" s="1867"/>
      <c r="G867" s="1611"/>
    </row>
    <row r="868" spans="1:7" ht="15.75" x14ac:dyDescent="0.25">
      <c r="A868" s="1867" t="s">
        <v>1769</v>
      </c>
      <c r="B868" s="1867"/>
      <c r="C868" s="1867"/>
      <c r="D868" s="1867"/>
      <c r="E868" s="1867"/>
      <c r="F868" s="1867"/>
      <c r="G868" s="1611"/>
    </row>
    <row r="869" spans="1:7" ht="15.75" x14ac:dyDescent="0.25">
      <c r="A869" s="1610"/>
      <c r="B869" s="1610"/>
      <c r="C869" s="1610"/>
      <c r="D869" s="1610"/>
      <c r="E869" s="1610"/>
      <c r="F869" s="1610"/>
      <c r="G869" s="1611"/>
    </row>
    <row r="870" spans="1:7" ht="15.75" x14ac:dyDescent="0.25">
      <c r="A870" s="1612" t="s">
        <v>261</v>
      </c>
      <c r="B870" s="1612" t="s">
        <v>911</v>
      </c>
      <c r="C870" s="1612"/>
      <c r="D870" s="1612"/>
      <c r="E870" s="1612"/>
      <c r="F870" s="1612"/>
      <c r="G870" s="1613"/>
    </row>
    <row r="871" spans="1:7" ht="15.75" x14ac:dyDescent="0.25">
      <c r="A871" s="1612" t="s">
        <v>262</v>
      </c>
      <c r="B871" s="1612" t="s">
        <v>937</v>
      </c>
      <c r="C871" s="1612"/>
      <c r="D871" s="1612"/>
      <c r="E871" s="1612" t="s">
        <v>6</v>
      </c>
      <c r="F871" s="1612"/>
      <c r="G871" s="1613"/>
    </row>
    <row r="872" spans="1:7" ht="62.25" customHeight="1" x14ac:dyDescent="0.25">
      <c r="A872" s="1614" t="s">
        <v>263</v>
      </c>
      <c r="B872" s="1615" t="s">
        <v>1043</v>
      </c>
      <c r="C872" s="1616"/>
      <c r="D872" s="1617"/>
      <c r="E872" s="1617" t="s">
        <v>1474</v>
      </c>
      <c r="F872" s="1614"/>
      <c r="G872" s="1617"/>
    </row>
    <row r="873" spans="1:7" ht="31.5" x14ac:dyDescent="0.25">
      <c r="A873" s="1616" t="s">
        <v>457</v>
      </c>
      <c r="B873" s="1618" t="s">
        <v>61</v>
      </c>
      <c r="C873" s="1618"/>
      <c r="D873" s="1618"/>
      <c r="E873" s="1618"/>
      <c r="F873" s="1618"/>
      <c r="G873" s="1616"/>
    </row>
    <row r="874" spans="1:7" ht="31.5" x14ac:dyDescent="0.25">
      <c r="A874" s="1613" t="s">
        <v>62</v>
      </c>
      <c r="B874" s="1612" t="s">
        <v>63</v>
      </c>
      <c r="C874" s="1612"/>
      <c r="D874" s="1612"/>
      <c r="E874" s="1612"/>
      <c r="F874" s="1612"/>
      <c r="G874" s="1613"/>
    </row>
    <row r="875" spans="1:7" ht="47.25" x14ac:dyDescent="0.25">
      <c r="A875" s="1619" t="s">
        <v>30</v>
      </c>
      <c r="B875" s="1619" t="s">
        <v>11</v>
      </c>
      <c r="C875" s="1868" t="s">
        <v>12</v>
      </c>
      <c r="D875" s="1869"/>
      <c r="E875" s="1620" t="s">
        <v>13</v>
      </c>
      <c r="F875" s="1619" t="s">
        <v>14</v>
      </c>
      <c r="G875" s="1621" t="s">
        <v>34</v>
      </c>
    </row>
    <row r="876" spans="1:7" ht="15.75" x14ac:dyDescent="0.25">
      <c r="A876" s="1622">
        <v>1</v>
      </c>
      <c r="B876" s="1622">
        <v>2</v>
      </c>
      <c r="C876" s="1864">
        <v>3</v>
      </c>
      <c r="D876" s="1865"/>
      <c r="E876" s="1624">
        <v>4</v>
      </c>
      <c r="F876" s="1623">
        <v>5</v>
      </c>
      <c r="G876" s="1625">
        <v>7</v>
      </c>
    </row>
    <row r="877" spans="1:7" ht="15.75" x14ac:dyDescent="0.25">
      <c r="A877" s="20" t="s">
        <v>1607</v>
      </c>
      <c r="B877" s="1626" t="s">
        <v>287</v>
      </c>
      <c r="C877" s="1627"/>
      <c r="D877" s="1628"/>
      <c r="E877" s="20"/>
      <c r="F877" s="20"/>
      <c r="G877" s="20"/>
    </row>
    <row r="878" spans="1:7" ht="31.5" x14ac:dyDescent="0.25">
      <c r="A878" s="20" t="s">
        <v>1608</v>
      </c>
      <c r="B878" s="1626" t="s">
        <v>86</v>
      </c>
      <c r="C878" s="1627"/>
      <c r="D878" s="1628"/>
      <c r="E878" s="20"/>
      <c r="F878" s="20"/>
      <c r="G878" s="20"/>
    </row>
    <row r="879" spans="1:7" ht="31.5" x14ac:dyDescent="0.25">
      <c r="A879" s="1629" t="s">
        <v>1609</v>
      </c>
      <c r="B879" s="1630" t="s">
        <v>288</v>
      </c>
      <c r="C879" s="1631"/>
      <c r="D879" s="1632"/>
      <c r="E879" s="1633"/>
      <c r="F879" s="1631"/>
      <c r="G879" s="1634"/>
    </row>
    <row r="880" spans="1:7" ht="31.5" x14ac:dyDescent="0.25">
      <c r="A880" s="1634"/>
      <c r="B880" s="17" t="s">
        <v>1770</v>
      </c>
      <c r="C880" s="1635">
        <v>1</v>
      </c>
      <c r="D880" s="1636" t="s">
        <v>89</v>
      </c>
      <c r="E880" s="1637">
        <v>79000</v>
      </c>
      <c r="F880" s="1638">
        <f>E880*C880</f>
        <v>79000</v>
      </c>
      <c r="G880" s="1639"/>
    </row>
    <row r="881" spans="1:7" ht="15.75" x14ac:dyDescent="0.25">
      <c r="A881" s="1634"/>
      <c r="B881" s="908" t="s">
        <v>1771</v>
      </c>
      <c r="C881" s="1635">
        <v>10</v>
      </c>
      <c r="D881" s="1636" t="s">
        <v>95</v>
      </c>
      <c r="E881" s="1637">
        <v>3900</v>
      </c>
      <c r="F881" s="1638">
        <f>E881*C881</f>
        <v>39000</v>
      </c>
      <c r="G881" s="1639"/>
    </row>
    <row r="882" spans="1:7" ht="15.75" x14ac:dyDescent="0.25">
      <c r="A882" s="1634"/>
      <c r="B882" s="908" t="s">
        <v>1776</v>
      </c>
      <c r="C882" s="1635">
        <v>10</v>
      </c>
      <c r="D882" s="1636" t="s">
        <v>95</v>
      </c>
      <c r="E882" s="1637">
        <v>6000</v>
      </c>
      <c r="F882" s="1638">
        <f>E882*C882</f>
        <v>60000</v>
      </c>
      <c r="G882" s="1639"/>
    </row>
    <row r="883" spans="1:7" ht="15.75" x14ac:dyDescent="0.25">
      <c r="A883" s="1634"/>
      <c r="B883" s="1629"/>
      <c r="C883" s="1635"/>
      <c r="D883" s="1636"/>
      <c r="E883" s="1637"/>
      <c r="F883" s="1638"/>
      <c r="G883" s="1639"/>
    </row>
    <row r="884" spans="1:7" ht="31.5" x14ac:dyDescent="0.25">
      <c r="A884" s="1629" t="s">
        <v>1610</v>
      </c>
      <c r="B884" s="1630" t="s">
        <v>317</v>
      </c>
      <c r="C884" s="1635"/>
      <c r="D884" s="1636"/>
      <c r="E884" s="1637"/>
      <c r="F884" s="1638"/>
      <c r="G884" s="1639"/>
    </row>
    <row r="885" spans="1:7" ht="15.75" x14ac:dyDescent="0.25">
      <c r="A885" s="1634"/>
      <c r="B885" s="1629" t="s">
        <v>1611</v>
      </c>
      <c r="C885" s="1635">
        <v>14</v>
      </c>
      <c r="D885" s="1636" t="s">
        <v>279</v>
      </c>
      <c r="E885" s="1637">
        <v>15000</v>
      </c>
      <c r="F885" s="1638">
        <f>E885*C885</f>
        <v>210000</v>
      </c>
      <c r="G885" s="1639"/>
    </row>
    <row r="886" spans="1:7" ht="15.75" x14ac:dyDescent="0.25">
      <c r="A886" s="1634"/>
      <c r="B886" s="1629"/>
      <c r="C886" s="1635"/>
      <c r="D886" s="1636"/>
      <c r="E886" s="1637"/>
      <c r="F886" s="1638"/>
      <c r="G886" s="1639"/>
    </row>
    <row r="887" spans="1:7" ht="31.5" x14ac:dyDescent="0.25">
      <c r="A887" s="1629" t="s">
        <v>1612</v>
      </c>
      <c r="B887" s="1630" t="s">
        <v>283</v>
      </c>
      <c r="C887" s="1640"/>
      <c r="D887" s="1641"/>
      <c r="E887" s="1634"/>
      <c r="F887" s="1634"/>
      <c r="G887" s="1642"/>
    </row>
    <row r="888" spans="1:7" ht="15.75" x14ac:dyDescent="0.25">
      <c r="A888" s="20"/>
      <c r="B888" s="20" t="s">
        <v>341</v>
      </c>
      <c r="C888" s="1627">
        <v>1</v>
      </c>
      <c r="D888" s="1628" t="s">
        <v>297</v>
      </c>
      <c r="E888" s="183">
        <v>50000</v>
      </c>
      <c r="F888" s="1638">
        <f>E888*C888</f>
        <v>50000</v>
      </c>
      <c r="G888" s="19"/>
    </row>
    <row r="889" spans="1:7" ht="15.75" x14ac:dyDescent="0.25">
      <c r="A889" s="20"/>
      <c r="B889" s="20"/>
      <c r="C889" s="1627"/>
      <c r="D889" s="1628"/>
      <c r="E889" s="183"/>
      <c r="F889" s="1638"/>
      <c r="G889" s="19"/>
    </row>
    <row r="890" spans="1:7" ht="15.75" x14ac:dyDescent="0.25">
      <c r="A890" s="20" t="s">
        <v>1613</v>
      </c>
      <c r="B890" s="1626" t="s">
        <v>304</v>
      </c>
      <c r="C890" s="1627"/>
      <c r="D890" s="1628"/>
      <c r="E890" s="1643"/>
      <c r="F890" s="1638"/>
      <c r="G890" s="19"/>
    </row>
    <row r="891" spans="1:7" ht="47.25" x14ac:dyDescent="0.25">
      <c r="A891" s="1629" t="s">
        <v>1614</v>
      </c>
      <c r="B891" s="1630" t="s">
        <v>439</v>
      </c>
      <c r="C891" s="1635"/>
      <c r="D891" s="1636"/>
      <c r="E891" s="1644"/>
      <c r="F891" s="1638"/>
      <c r="G891" s="1639"/>
    </row>
    <row r="892" spans="1:7" ht="15.75" x14ac:dyDescent="0.25">
      <c r="A892" s="1634"/>
      <c r="B892" s="1629" t="s">
        <v>1615</v>
      </c>
      <c r="C892" s="1635">
        <v>1</v>
      </c>
      <c r="D892" s="1636" t="s">
        <v>419</v>
      </c>
      <c r="E892" s="1644">
        <v>300000</v>
      </c>
      <c r="F892" s="1638">
        <f>E892*C892</f>
        <v>300000</v>
      </c>
      <c r="G892" s="1639"/>
    </row>
    <row r="893" spans="1:7" ht="15.75" x14ac:dyDescent="0.25">
      <c r="A893" s="1634"/>
      <c r="B893" s="1629"/>
      <c r="C893" s="1635"/>
      <c r="D893" s="1636"/>
      <c r="E893" s="1644"/>
      <c r="F893" s="1638"/>
      <c r="G893" s="1639"/>
    </row>
    <row r="894" spans="1:7" ht="31.5" x14ac:dyDescent="0.25">
      <c r="A894" s="20" t="s">
        <v>1616</v>
      </c>
      <c r="B894" s="1626" t="s">
        <v>354</v>
      </c>
      <c r="C894" s="1627"/>
      <c r="D894" s="1628"/>
      <c r="E894" s="1643"/>
      <c r="F894" s="1638"/>
      <c r="G894" s="19"/>
    </row>
    <row r="895" spans="1:7" ht="31.5" x14ac:dyDescent="0.25">
      <c r="A895" s="20"/>
      <c r="B895" s="18" t="s">
        <v>1617</v>
      </c>
      <c r="C895" s="1627">
        <v>1150</v>
      </c>
      <c r="D895" s="1628" t="s">
        <v>356</v>
      </c>
      <c r="E895" s="183">
        <v>5000</v>
      </c>
      <c r="F895" s="1638">
        <f>E895*C895</f>
        <v>5750000</v>
      </c>
      <c r="G895" s="19"/>
    </row>
    <row r="896" spans="1:7" ht="15.75" x14ac:dyDescent="0.25">
      <c r="A896" s="20"/>
      <c r="B896" s="20"/>
      <c r="C896" s="1627"/>
      <c r="D896" s="1628"/>
      <c r="E896" s="20"/>
      <c r="F896" s="1645"/>
      <c r="G896" s="20"/>
    </row>
    <row r="897" spans="1:22" ht="47.25" x14ac:dyDescent="0.25">
      <c r="A897" s="1646"/>
      <c r="B897" s="1646" t="s">
        <v>26</v>
      </c>
      <c r="C897" s="1647"/>
      <c r="D897" s="1648"/>
      <c r="E897" s="1646"/>
      <c r="F897" s="1649">
        <f>SUM(F880:F895)</f>
        <v>6488000</v>
      </c>
      <c r="G897" s="1626" t="s">
        <v>2572</v>
      </c>
      <c r="V897" s="36">
        <f>F897</f>
        <v>6488000</v>
      </c>
    </row>
    <row r="898" spans="1:22" ht="15.75" x14ac:dyDescent="0.25">
      <c r="A898" s="1650"/>
      <c r="B898" s="1650"/>
      <c r="C898" s="1650"/>
      <c r="D898" s="1650"/>
      <c r="E898" s="1650"/>
      <c r="F898" s="1651"/>
      <c r="G898" s="1651"/>
    </row>
    <row r="899" spans="1:22" s="444" customFormat="1" ht="12" x14ac:dyDescent="0.2">
      <c r="A899" s="1762" t="s">
        <v>549</v>
      </c>
      <c r="B899" s="1762"/>
      <c r="C899" s="188" t="s">
        <v>27</v>
      </c>
      <c r="D899" s="1763" t="s">
        <v>1429</v>
      </c>
      <c r="E899" s="1763"/>
      <c r="F899" s="1763"/>
      <c r="G899" s="188"/>
    </row>
    <row r="900" spans="1:22" s="444" customFormat="1" ht="12" x14ac:dyDescent="0.2">
      <c r="A900" s="1762" t="s">
        <v>28</v>
      </c>
      <c r="B900" s="1762"/>
      <c r="C900" s="188"/>
      <c r="D900" s="1764" t="s">
        <v>2834</v>
      </c>
      <c r="E900" s="1764"/>
      <c r="F900" s="1764"/>
      <c r="G900" s="188"/>
    </row>
    <row r="901" spans="1:22" s="444" customFormat="1" ht="12" x14ac:dyDescent="0.2">
      <c r="A901" s="186"/>
      <c r="B901" s="187"/>
      <c r="C901" s="188"/>
      <c r="D901" s="189"/>
      <c r="E901" s="218"/>
      <c r="F901" s="218"/>
      <c r="G901" s="188"/>
    </row>
    <row r="902" spans="1:22" s="444" customFormat="1" ht="12" x14ac:dyDescent="0.2">
      <c r="A902" s="186"/>
      <c r="B902" s="187"/>
      <c r="C902" s="188"/>
      <c r="D902" s="189"/>
      <c r="E902" s="218"/>
      <c r="F902" s="218"/>
      <c r="G902" s="188"/>
    </row>
    <row r="903" spans="1:22" s="444" customFormat="1" ht="12" x14ac:dyDescent="0.2">
      <c r="A903" s="1762"/>
      <c r="B903" s="1762"/>
      <c r="C903" s="188"/>
      <c r="D903" s="189"/>
      <c r="E903" s="1762"/>
      <c r="F903" s="1762"/>
      <c r="G903" s="188"/>
    </row>
    <row r="904" spans="1:22" s="444" customFormat="1" ht="12" x14ac:dyDescent="0.2">
      <c r="A904" s="1762" t="s">
        <v>29</v>
      </c>
      <c r="B904" s="1762"/>
      <c r="C904" s="188"/>
      <c r="D904" s="1762" t="s">
        <v>2993</v>
      </c>
      <c r="E904" s="1762"/>
      <c r="F904" s="1762"/>
      <c r="G904" s="188"/>
    </row>
    <row r="905" spans="1:22" x14ac:dyDescent="0.25">
      <c r="A905" s="1796" t="s">
        <v>2961</v>
      </c>
      <c r="B905" s="1796"/>
      <c r="C905" s="1796"/>
      <c r="D905" s="1796"/>
      <c r="E905" s="1796"/>
      <c r="F905" s="1796"/>
      <c r="G905" s="1796"/>
    </row>
    <row r="906" spans="1:22" x14ac:dyDescent="0.25">
      <c r="A906" s="1796" t="s">
        <v>1</v>
      </c>
      <c r="B906" s="1796"/>
      <c r="C906" s="1796"/>
      <c r="D906" s="1796"/>
      <c r="E906" s="1796"/>
      <c r="F906" s="1796"/>
      <c r="G906" s="1796"/>
    </row>
    <row r="907" spans="1:22" x14ac:dyDescent="0.25">
      <c r="A907" s="1796" t="s">
        <v>1769</v>
      </c>
      <c r="B907" s="1796"/>
      <c r="C907" s="1796"/>
      <c r="D907" s="1796"/>
      <c r="E907" s="1796"/>
      <c r="F907" s="1796"/>
      <c r="G907" s="1796"/>
    </row>
    <row r="908" spans="1:22" x14ac:dyDescent="0.25">
      <c r="A908" s="374"/>
      <c r="B908" s="375"/>
      <c r="C908" s="376"/>
      <c r="D908" s="376"/>
      <c r="E908" s="377"/>
      <c r="F908" s="377"/>
      <c r="G908" s="377"/>
    </row>
    <row r="909" spans="1:22" x14ac:dyDescent="0.25">
      <c r="A909" s="377" t="s">
        <v>1483</v>
      </c>
      <c r="B909" s="378" t="s">
        <v>2962</v>
      </c>
      <c r="C909" s="379"/>
      <c r="D909" s="379"/>
      <c r="E909" s="380"/>
      <c r="F909" s="380"/>
      <c r="G909" s="377"/>
    </row>
    <row r="910" spans="1:22" x14ac:dyDescent="0.25">
      <c r="A910" s="381" t="s">
        <v>712</v>
      </c>
      <c r="B910" s="382" t="s">
        <v>2963</v>
      </c>
      <c r="C910" s="379"/>
      <c r="D910" s="379"/>
      <c r="E910" s="380" t="s">
        <v>1484</v>
      </c>
      <c r="F910" s="380"/>
      <c r="G910" s="377"/>
    </row>
    <row r="911" spans="1:22" ht="75" x14ac:dyDescent="0.25">
      <c r="A911" s="383" t="s">
        <v>749</v>
      </c>
      <c r="B911" s="384" t="s">
        <v>2964</v>
      </c>
      <c r="C911" s="379"/>
      <c r="D911" s="379"/>
      <c r="E911" s="380" t="s">
        <v>1485</v>
      </c>
      <c r="F911" s="380"/>
      <c r="G911" s="381"/>
    </row>
    <row r="912" spans="1:22" ht="24" x14ac:dyDescent="0.25">
      <c r="A912" s="383" t="s">
        <v>1486</v>
      </c>
      <c r="B912" s="384" t="s">
        <v>2965</v>
      </c>
      <c r="C912" s="379"/>
      <c r="D912" s="379"/>
      <c r="E912" s="380"/>
      <c r="F912" s="380"/>
      <c r="G912" s="381"/>
    </row>
    <row r="913" spans="1:7" x14ac:dyDescent="0.25">
      <c r="A913" s="377" t="s">
        <v>1487</v>
      </c>
      <c r="B913" s="378" t="s">
        <v>61</v>
      </c>
      <c r="C913" s="379"/>
      <c r="D913" s="379"/>
      <c r="E913" s="377"/>
      <c r="F913" s="377"/>
      <c r="G913" s="377"/>
    </row>
    <row r="914" spans="1:7" x14ac:dyDescent="0.25">
      <c r="A914" s="381" t="s">
        <v>62</v>
      </c>
      <c r="B914" s="382" t="s">
        <v>63</v>
      </c>
      <c r="C914" s="379"/>
      <c r="D914" s="379"/>
      <c r="E914" s="381"/>
      <c r="F914" s="381"/>
      <c r="G914" s="381"/>
    </row>
    <row r="915" spans="1:7" x14ac:dyDescent="0.25">
      <c r="A915" s="385"/>
      <c r="B915" s="386"/>
      <c r="C915" s="387"/>
      <c r="D915" s="387"/>
      <c r="E915" s="385"/>
      <c r="F915" s="385"/>
      <c r="G915" s="385"/>
    </row>
    <row r="916" spans="1:7" ht="24" x14ac:dyDescent="0.25">
      <c r="A916" s="388" t="s">
        <v>30</v>
      </c>
      <c r="B916" s="388" t="s">
        <v>11</v>
      </c>
      <c r="C916" s="1787" t="s">
        <v>12</v>
      </c>
      <c r="D916" s="1788"/>
      <c r="E916" s="152" t="s">
        <v>13</v>
      </c>
      <c r="F916" s="389" t="s">
        <v>14</v>
      </c>
      <c r="G916" s="390" t="s">
        <v>266</v>
      </c>
    </row>
    <row r="917" spans="1:7" x14ac:dyDescent="0.25">
      <c r="A917" s="197">
        <v>1</v>
      </c>
      <c r="B917" s="198">
        <v>2</v>
      </c>
      <c r="C917" s="1773">
        <v>3</v>
      </c>
      <c r="D917" s="1774"/>
      <c r="E917" s="2">
        <v>4</v>
      </c>
      <c r="F917" s="205">
        <v>5</v>
      </c>
      <c r="G917" s="202">
        <v>7</v>
      </c>
    </row>
    <row r="918" spans="1:7" x14ac:dyDescent="0.25">
      <c r="A918" s="391" t="s">
        <v>2714</v>
      </c>
      <c r="B918" s="153" t="s">
        <v>314</v>
      </c>
      <c r="C918" s="175"/>
      <c r="D918" s="175"/>
      <c r="E918" s="156"/>
      <c r="F918" s="157"/>
      <c r="G918" s="202"/>
    </row>
    <row r="919" spans="1:7" x14ac:dyDescent="0.25">
      <c r="A919" s="391" t="s">
        <v>2966</v>
      </c>
      <c r="B919" s="153" t="s">
        <v>511</v>
      </c>
      <c r="C919" s="175"/>
      <c r="D919" s="175"/>
      <c r="E919" s="156"/>
      <c r="F919" s="157"/>
      <c r="G919" s="202"/>
    </row>
    <row r="920" spans="1:7" ht="24" x14ac:dyDescent="0.25">
      <c r="A920" s="391" t="s">
        <v>2967</v>
      </c>
      <c r="B920" s="153" t="s">
        <v>1499</v>
      </c>
      <c r="C920" s="472"/>
      <c r="D920" s="175"/>
      <c r="E920" s="156"/>
      <c r="F920" s="157"/>
      <c r="G920" s="202"/>
    </row>
    <row r="921" spans="1:7" x14ac:dyDescent="0.25">
      <c r="A921" s="257"/>
      <c r="B921" s="158" t="s">
        <v>188</v>
      </c>
      <c r="C921" s="472">
        <v>1</v>
      </c>
      <c r="D921" s="175" t="s">
        <v>473</v>
      </c>
      <c r="E921" s="156">
        <v>300000</v>
      </c>
      <c r="F921" s="157">
        <f>E921*C921</f>
        <v>300000</v>
      </c>
      <c r="G921" s="202"/>
    </row>
    <row r="922" spans="1:7" x14ac:dyDescent="0.25">
      <c r="A922" s="257"/>
      <c r="B922" s="158" t="s">
        <v>189</v>
      </c>
      <c r="C922" s="472">
        <v>1</v>
      </c>
      <c r="D922" s="175" t="s">
        <v>473</v>
      </c>
      <c r="E922" s="156">
        <v>250000</v>
      </c>
      <c r="F922" s="157">
        <f>E922*C922</f>
        <v>250000</v>
      </c>
      <c r="G922" s="598"/>
    </row>
    <row r="923" spans="1:7" ht="15.75" thickBot="1" x14ac:dyDescent="0.3">
      <c r="A923" s="257"/>
      <c r="B923" s="159" t="s">
        <v>352</v>
      </c>
      <c r="C923" s="1726">
        <v>1</v>
      </c>
      <c r="D923" s="174" t="s">
        <v>473</v>
      </c>
      <c r="E923" s="161">
        <v>200000</v>
      </c>
      <c r="F923" s="157">
        <f>E923*C923</f>
        <v>200000</v>
      </c>
      <c r="G923" s="598"/>
    </row>
    <row r="924" spans="1:7" ht="15.75" thickBot="1" x14ac:dyDescent="0.3">
      <c r="A924" s="207"/>
      <c r="B924" s="1781" t="s">
        <v>548</v>
      </c>
      <c r="C924" s="1782"/>
      <c r="D924" s="1782"/>
      <c r="E924" s="1848"/>
      <c r="F924" s="1727">
        <f>SUM(F921:F923)</f>
        <v>750000</v>
      </c>
      <c r="G924" s="598"/>
    </row>
    <row r="925" spans="1:7" ht="24" x14ac:dyDescent="0.25">
      <c r="A925" s="391" t="s">
        <v>2715</v>
      </c>
      <c r="B925" s="1728" t="s">
        <v>2968</v>
      </c>
      <c r="C925" s="1729"/>
      <c r="D925" s="1729"/>
      <c r="E925" s="1729"/>
      <c r="F925" s="601"/>
      <c r="G925" s="202"/>
    </row>
    <row r="926" spans="1:7" ht="24" x14ac:dyDescent="0.25">
      <c r="A926" s="391" t="s">
        <v>2716</v>
      </c>
      <c r="B926" s="394" t="s">
        <v>2969</v>
      </c>
      <c r="C926" s="197"/>
      <c r="D926" s="211"/>
      <c r="E926" s="207"/>
      <c r="F926" s="164"/>
      <c r="G926" s="1730"/>
    </row>
    <row r="927" spans="1:7" x14ac:dyDescent="0.25">
      <c r="A927" s="391"/>
      <c r="B927" s="1731" t="s">
        <v>2970</v>
      </c>
      <c r="C927" s="1">
        <v>11.1</v>
      </c>
      <c r="D927" s="211" t="s">
        <v>843</v>
      </c>
      <c r="E927" s="1732">
        <v>405000</v>
      </c>
      <c r="F927" s="164">
        <f>E927*C927</f>
        <v>4495500</v>
      </c>
      <c r="G927" s="1730"/>
    </row>
    <row r="928" spans="1:7" x14ac:dyDescent="0.25">
      <c r="A928" s="391"/>
      <c r="B928" s="1731" t="s">
        <v>1493</v>
      </c>
      <c r="C928" s="1">
        <v>6582</v>
      </c>
      <c r="D928" s="211" t="s">
        <v>1494</v>
      </c>
      <c r="E928" s="1732">
        <v>3000</v>
      </c>
      <c r="F928" s="164">
        <f t="shared" ref="F928:F944" si="10">E928*C928</f>
        <v>19746000</v>
      </c>
      <c r="G928" s="1730"/>
    </row>
    <row r="929" spans="1:7" x14ac:dyDescent="0.25">
      <c r="A929" s="391"/>
      <c r="B929" s="1731" t="s">
        <v>2971</v>
      </c>
      <c r="C929" s="1">
        <v>11.5</v>
      </c>
      <c r="D929" s="211" t="s">
        <v>843</v>
      </c>
      <c r="E929" s="1732">
        <v>400000</v>
      </c>
      <c r="F929" s="164">
        <f t="shared" si="10"/>
        <v>4600000</v>
      </c>
      <c r="G929" s="1730"/>
    </row>
    <row r="930" spans="1:7" x14ac:dyDescent="0.25">
      <c r="A930" s="391"/>
      <c r="B930" s="1731" t="s">
        <v>2972</v>
      </c>
      <c r="C930" s="1">
        <v>6</v>
      </c>
      <c r="D930" s="211" t="s">
        <v>843</v>
      </c>
      <c r="E930" s="1732">
        <v>150000</v>
      </c>
      <c r="F930" s="164">
        <f t="shared" si="10"/>
        <v>900000</v>
      </c>
      <c r="G930" s="1730"/>
    </row>
    <row r="931" spans="1:7" x14ac:dyDescent="0.25">
      <c r="A931" s="391"/>
      <c r="B931" s="1731" t="s">
        <v>2973</v>
      </c>
      <c r="C931" s="1">
        <v>2</v>
      </c>
      <c r="D931" s="211" t="s">
        <v>843</v>
      </c>
      <c r="E931" s="1732">
        <v>2350000</v>
      </c>
      <c r="F931" s="164">
        <f t="shared" si="10"/>
        <v>4700000</v>
      </c>
      <c r="G931" s="1730"/>
    </row>
    <row r="932" spans="1:7" x14ac:dyDescent="0.25">
      <c r="A932" s="391"/>
      <c r="B932" s="1731" t="s">
        <v>2974</v>
      </c>
      <c r="C932" s="1">
        <v>4.5</v>
      </c>
      <c r="D932" s="211" t="s">
        <v>1494</v>
      </c>
      <c r="E932" s="1732">
        <v>35000</v>
      </c>
      <c r="F932" s="164">
        <f t="shared" si="10"/>
        <v>157500</v>
      </c>
      <c r="G932" s="1730"/>
    </row>
    <row r="933" spans="1:7" x14ac:dyDescent="0.25">
      <c r="A933" s="391"/>
      <c r="B933" s="1731" t="s">
        <v>2266</v>
      </c>
      <c r="C933" s="1">
        <v>2.5</v>
      </c>
      <c r="D933" s="211" t="s">
        <v>843</v>
      </c>
      <c r="E933" s="1732">
        <v>325000</v>
      </c>
      <c r="F933" s="164">
        <f t="shared" si="10"/>
        <v>812500</v>
      </c>
      <c r="G933" s="1730"/>
    </row>
    <row r="934" spans="1:7" x14ac:dyDescent="0.25">
      <c r="A934" s="391"/>
      <c r="B934" s="1731" t="s">
        <v>2267</v>
      </c>
      <c r="C934" s="1">
        <v>2.5</v>
      </c>
      <c r="D934" s="211" t="s">
        <v>843</v>
      </c>
      <c r="E934" s="1732">
        <v>350000</v>
      </c>
      <c r="F934" s="164">
        <f t="shared" si="10"/>
        <v>875000</v>
      </c>
      <c r="G934" s="1730"/>
    </row>
    <row r="935" spans="1:7" x14ac:dyDescent="0.25">
      <c r="A935" s="391"/>
      <c r="B935" s="1731" t="s">
        <v>2431</v>
      </c>
      <c r="C935" s="1">
        <v>372</v>
      </c>
      <c r="D935" s="211" t="s">
        <v>110</v>
      </c>
      <c r="E935" s="1732">
        <v>4000</v>
      </c>
      <c r="F935" s="164">
        <f t="shared" si="10"/>
        <v>1488000</v>
      </c>
      <c r="G935" s="1730"/>
    </row>
    <row r="936" spans="1:7" x14ac:dyDescent="0.25">
      <c r="A936" s="391"/>
      <c r="B936" s="1731" t="s">
        <v>2975</v>
      </c>
      <c r="C936" s="1">
        <v>1</v>
      </c>
      <c r="D936" s="211" t="s">
        <v>110</v>
      </c>
      <c r="E936" s="1732">
        <v>2500000</v>
      </c>
      <c r="F936" s="164">
        <f t="shared" si="10"/>
        <v>2500000</v>
      </c>
      <c r="G936" s="1730"/>
    </row>
    <row r="937" spans="1:7" x14ac:dyDescent="0.25">
      <c r="A937" s="391"/>
      <c r="B937" s="1731" t="s">
        <v>2976</v>
      </c>
      <c r="C937" s="1">
        <v>58</v>
      </c>
      <c r="D937" s="211" t="s">
        <v>2310</v>
      </c>
      <c r="E937" s="1732">
        <v>105000</v>
      </c>
      <c r="F937" s="164">
        <f t="shared" si="10"/>
        <v>6090000</v>
      </c>
      <c r="G937" s="1730"/>
    </row>
    <row r="938" spans="1:7" x14ac:dyDescent="0.25">
      <c r="A938" s="391"/>
      <c r="B938" s="1731" t="s">
        <v>2977</v>
      </c>
      <c r="C938" s="1">
        <v>51</v>
      </c>
      <c r="D938" s="211" t="s">
        <v>2310</v>
      </c>
      <c r="E938" s="1732">
        <v>65000</v>
      </c>
      <c r="F938" s="164">
        <f t="shared" si="10"/>
        <v>3315000</v>
      </c>
      <c r="G938" s="1730"/>
    </row>
    <row r="939" spans="1:7" x14ac:dyDescent="0.25">
      <c r="A939" s="391"/>
      <c r="B939" s="1731" t="s">
        <v>2978</v>
      </c>
      <c r="C939" s="1">
        <v>8</v>
      </c>
      <c r="D939" s="211" t="s">
        <v>2310</v>
      </c>
      <c r="E939" s="1732">
        <v>165000</v>
      </c>
      <c r="F939" s="164">
        <f t="shared" si="10"/>
        <v>1320000</v>
      </c>
      <c r="G939" s="1730"/>
    </row>
    <row r="940" spans="1:7" x14ac:dyDescent="0.25">
      <c r="A940" s="391"/>
      <c r="B940" s="1731" t="s">
        <v>2979</v>
      </c>
      <c r="C940" s="1">
        <v>4</v>
      </c>
      <c r="D940" s="211" t="s">
        <v>1494</v>
      </c>
      <c r="E940" s="1732">
        <v>35000</v>
      </c>
      <c r="F940" s="164">
        <f t="shared" si="10"/>
        <v>140000</v>
      </c>
      <c r="G940" s="1730"/>
    </row>
    <row r="941" spans="1:7" x14ac:dyDescent="0.25">
      <c r="A941" s="391"/>
      <c r="B941" s="1731" t="s">
        <v>2271</v>
      </c>
      <c r="C941" s="1733">
        <v>5</v>
      </c>
      <c r="D941" s="211" t="s">
        <v>276</v>
      </c>
      <c r="E941" s="1732">
        <v>150000</v>
      </c>
      <c r="F941" s="164">
        <f t="shared" si="10"/>
        <v>750000</v>
      </c>
      <c r="G941" s="1730"/>
    </row>
    <row r="942" spans="1:7" x14ac:dyDescent="0.25">
      <c r="A942" s="391"/>
      <c r="B942" s="1731" t="s">
        <v>2980</v>
      </c>
      <c r="C942" s="1733">
        <v>1</v>
      </c>
      <c r="D942" s="211" t="s">
        <v>843</v>
      </c>
      <c r="E942" s="1732">
        <v>2350000</v>
      </c>
      <c r="F942" s="164">
        <f t="shared" si="10"/>
        <v>2350000</v>
      </c>
      <c r="G942" s="1730"/>
    </row>
    <row r="943" spans="1:7" x14ac:dyDescent="0.25">
      <c r="A943" s="391"/>
      <c r="B943" s="1731" t="s">
        <v>1497</v>
      </c>
      <c r="C943" s="1733">
        <v>1</v>
      </c>
      <c r="D943" s="211" t="s">
        <v>110</v>
      </c>
      <c r="E943" s="1732">
        <v>500000</v>
      </c>
      <c r="F943" s="164">
        <f t="shared" si="10"/>
        <v>500000</v>
      </c>
      <c r="G943" s="1730"/>
    </row>
    <row r="944" spans="1:7" x14ac:dyDescent="0.25">
      <c r="A944" s="391"/>
      <c r="B944" s="1731" t="s">
        <v>1496</v>
      </c>
      <c r="C944" s="1733">
        <v>1</v>
      </c>
      <c r="D944" s="211" t="s">
        <v>110</v>
      </c>
      <c r="E944" s="1732">
        <v>250000</v>
      </c>
      <c r="F944" s="164">
        <f t="shared" si="10"/>
        <v>250000</v>
      </c>
      <c r="G944" s="1730"/>
    </row>
    <row r="945" spans="1:12" ht="15.75" thickBot="1" x14ac:dyDescent="0.3">
      <c r="A945" s="391"/>
      <c r="B945" s="394"/>
      <c r="C945" s="210"/>
      <c r="D945" s="211"/>
      <c r="E945" s="207"/>
      <c r="F945" s="164"/>
      <c r="G945" s="1730"/>
    </row>
    <row r="946" spans="1:12" ht="15.75" thickBot="1" x14ac:dyDescent="0.3">
      <c r="A946" s="398"/>
      <c r="B946" s="1784" t="s">
        <v>548</v>
      </c>
      <c r="C946" s="1785"/>
      <c r="D946" s="1785"/>
      <c r="E946" s="1786"/>
      <c r="F946" s="163">
        <f>SUM(F927:F944)</f>
        <v>54989500</v>
      </c>
      <c r="G946" s="600"/>
    </row>
    <row r="947" spans="1:12" ht="15.75" thickBot="1" x14ac:dyDescent="0.3">
      <c r="A947" s="210"/>
      <c r="B947" s="1781" t="s">
        <v>26</v>
      </c>
      <c r="C947" s="1782"/>
      <c r="D947" s="1782"/>
      <c r="E947" s="1783"/>
      <c r="F947" s="163">
        <f>F946+F924</f>
        <v>55739500</v>
      </c>
      <c r="G947" s="399" t="s">
        <v>1845</v>
      </c>
      <c r="L947" s="172">
        <f>F947</f>
        <v>55739500</v>
      </c>
    </row>
    <row r="949" spans="1:12" s="444" customFormat="1" ht="12" x14ac:dyDescent="0.2">
      <c r="A949" s="1762" t="s">
        <v>549</v>
      </c>
      <c r="B949" s="1762"/>
      <c r="C949" s="188" t="s">
        <v>27</v>
      </c>
      <c r="D949" s="1763" t="s">
        <v>1429</v>
      </c>
      <c r="E949" s="1763"/>
      <c r="F949" s="1763"/>
      <c r="G949" s="188"/>
    </row>
    <row r="950" spans="1:12" s="444" customFormat="1" ht="12" x14ac:dyDescent="0.2">
      <c r="A950" s="1762" t="s">
        <v>28</v>
      </c>
      <c r="B950" s="1762"/>
      <c r="C950" s="188"/>
      <c r="D950" s="1764" t="s">
        <v>2833</v>
      </c>
      <c r="E950" s="1764"/>
      <c r="F950" s="1764"/>
      <c r="G950" s="188"/>
    </row>
    <row r="951" spans="1:12" s="444" customFormat="1" ht="12" x14ac:dyDescent="0.2">
      <c r="A951" s="186"/>
      <c r="B951" s="187"/>
      <c r="C951" s="188"/>
      <c r="D951" s="189"/>
      <c r="E951" s="218"/>
      <c r="F951" s="218"/>
      <c r="G951" s="188"/>
    </row>
    <row r="952" spans="1:12" s="444" customFormat="1" ht="12" x14ac:dyDescent="0.2">
      <c r="A952" s="186"/>
      <c r="B952" s="187"/>
      <c r="C952" s="188"/>
      <c r="D952" s="189"/>
      <c r="E952" s="218"/>
      <c r="F952" s="218"/>
      <c r="G952" s="188"/>
    </row>
    <row r="953" spans="1:12" s="444" customFormat="1" ht="12" x14ac:dyDescent="0.2">
      <c r="A953" s="1762"/>
      <c r="B953" s="1762"/>
      <c r="C953" s="188"/>
      <c r="D953" s="189"/>
      <c r="E953" s="1762"/>
      <c r="F953" s="1762"/>
      <c r="G953" s="188"/>
    </row>
    <row r="954" spans="1:12" s="444" customFormat="1" ht="12" x14ac:dyDescent="0.2">
      <c r="A954" s="1762" t="s">
        <v>29</v>
      </c>
      <c r="B954" s="1762"/>
      <c r="C954" s="188"/>
      <c r="D954" s="1762" t="s">
        <v>2954</v>
      </c>
      <c r="E954" s="1762"/>
      <c r="F954" s="1762"/>
      <c r="G954" s="188"/>
    </row>
    <row r="957" spans="1:12" x14ac:dyDescent="0.25">
      <c r="A957" s="1796" t="s">
        <v>2961</v>
      </c>
      <c r="B957" s="1796"/>
      <c r="C957" s="1796"/>
      <c r="D957" s="1796"/>
      <c r="E957" s="1796"/>
      <c r="F957" s="1796"/>
      <c r="G957" s="1796"/>
    </row>
    <row r="958" spans="1:12" x14ac:dyDescent="0.25">
      <c r="A958" s="1796" t="s">
        <v>1</v>
      </c>
      <c r="B958" s="1796"/>
      <c r="C958" s="1796"/>
      <c r="D958" s="1796"/>
      <c r="E958" s="1796"/>
      <c r="F958" s="1796"/>
      <c r="G958" s="1796"/>
    </row>
    <row r="959" spans="1:12" x14ac:dyDescent="0.25">
      <c r="A959" s="1796" t="s">
        <v>1769</v>
      </c>
      <c r="B959" s="1796"/>
      <c r="C959" s="1796"/>
      <c r="D959" s="1796"/>
      <c r="E959" s="1796"/>
      <c r="F959" s="1796"/>
      <c r="G959" s="1796"/>
    </row>
    <row r="960" spans="1:12" x14ac:dyDescent="0.25">
      <c r="A960" s="374"/>
      <c r="B960" s="375"/>
      <c r="C960" s="376"/>
      <c r="D960" s="376"/>
      <c r="E960" s="377"/>
      <c r="F960" s="377"/>
      <c r="G960" s="377"/>
    </row>
    <row r="961" spans="1:7" x14ac:dyDescent="0.25">
      <c r="A961" s="377" t="s">
        <v>1483</v>
      </c>
      <c r="B961" s="378" t="s">
        <v>2962</v>
      </c>
      <c r="C961" s="379"/>
      <c r="D961" s="379"/>
      <c r="E961" s="380"/>
      <c r="F961" s="380"/>
      <c r="G961" s="377"/>
    </row>
    <row r="962" spans="1:7" x14ac:dyDescent="0.25">
      <c r="A962" s="381" t="s">
        <v>712</v>
      </c>
      <c r="B962" s="382" t="s">
        <v>2963</v>
      </c>
      <c r="C962" s="379"/>
      <c r="D962" s="379"/>
      <c r="E962" s="380" t="s">
        <v>1484</v>
      </c>
      <c r="F962" s="380"/>
      <c r="G962" s="377"/>
    </row>
    <row r="963" spans="1:7" ht="60" x14ac:dyDescent="0.25">
      <c r="A963" s="383" t="s">
        <v>749</v>
      </c>
      <c r="B963" s="384" t="s">
        <v>2981</v>
      </c>
      <c r="C963" s="379"/>
      <c r="D963" s="379"/>
      <c r="E963" s="380" t="s">
        <v>1485</v>
      </c>
      <c r="F963" s="380"/>
      <c r="G963" s="381"/>
    </row>
    <row r="964" spans="1:7" ht="24" x14ac:dyDescent="0.25">
      <c r="A964" s="383" t="s">
        <v>1486</v>
      </c>
      <c r="B964" s="384" t="s">
        <v>2982</v>
      </c>
      <c r="C964" s="379"/>
      <c r="D964" s="379"/>
      <c r="E964" s="380"/>
      <c r="F964" s="380"/>
      <c r="G964" s="381"/>
    </row>
    <row r="965" spans="1:7" x14ac:dyDescent="0.25">
      <c r="A965" s="377" t="s">
        <v>1487</v>
      </c>
      <c r="B965" s="378" t="s">
        <v>61</v>
      </c>
      <c r="C965" s="379"/>
      <c r="D965" s="379"/>
      <c r="E965" s="377"/>
      <c r="F965" s="377"/>
      <c r="G965" s="377"/>
    </row>
    <row r="966" spans="1:7" x14ac:dyDescent="0.25">
      <c r="A966" s="381" t="s">
        <v>62</v>
      </c>
      <c r="B966" s="382" t="s">
        <v>63</v>
      </c>
      <c r="C966" s="379"/>
      <c r="D966" s="379"/>
      <c r="E966" s="381"/>
      <c r="F966" s="381"/>
      <c r="G966" s="381"/>
    </row>
    <row r="967" spans="1:7" x14ac:dyDescent="0.25">
      <c r="A967" s="385"/>
      <c r="B967" s="386"/>
      <c r="C967" s="387"/>
      <c r="D967" s="387"/>
      <c r="E967" s="385"/>
      <c r="F967" s="385"/>
      <c r="G967" s="385"/>
    </row>
    <row r="968" spans="1:7" ht="24" x14ac:dyDescent="0.25">
      <c r="A968" s="388" t="s">
        <v>30</v>
      </c>
      <c r="B968" s="388" t="s">
        <v>11</v>
      </c>
      <c r="C968" s="1787" t="s">
        <v>12</v>
      </c>
      <c r="D968" s="1788"/>
      <c r="E968" s="152" t="s">
        <v>13</v>
      </c>
      <c r="F968" s="389" t="s">
        <v>14</v>
      </c>
      <c r="G968" s="390" t="s">
        <v>266</v>
      </c>
    </row>
    <row r="969" spans="1:7" x14ac:dyDescent="0.25">
      <c r="A969" s="197">
        <v>1</v>
      </c>
      <c r="B969" s="198">
        <v>2</v>
      </c>
      <c r="C969" s="1773">
        <v>3</v>
      </c>
      <c r="D969" s="1774"/>
      <c r="E969" s="2">
        <v>4</v>
      </c>
      <c r="F969" s="205">
        <v>5</v>
      </c>
      <c r="G969" s="202">
        <v>7</v>
      </c>
    </row>
    <row r="970" spans="1:7" x14ac:dyDescent="0.25">
      <c r="A970" s="391" t="s">
        <v>2714</v>
      </c>
      <c r="B970" s="153" t="s">
        <v>314</v>
      </c>
      <c r="C970" s="175"/>
      <c r="D970" s="175"/>
      <c r="E970" s="156"/>
      <c r="F970" s="157"/>
      <c r="G970" s="202"/>
    </row>
    <row r="971" spans="1:7" x14ac:dyDescent="0.25">
      <c r="A971" s="391" t="s">
        <v>2966</v>
      </c>
      <c r="B971" s="153" t="s">
        <v>511</v>
      </c>
      <c r="C971" s="175"/>
      <c r="D971" s="175"/>
      <c r="E971" s="156"/>
      <c r="F971" s="157"/>
      <c r="G971" s="202"/>
    </row>
    <row r="972" spans="1:7" ht="24" x14ac:dyDescent="0.25">
      <c r="A972" s="391" t="s">
        <v>2967</v>
      </c>
      <c r="B972" s="153" t="s">
        <v>1499</v>
      </c>
      <c r="C972" s="472"/>
      <c r="D972" s="175"/>
      <c r="E972" s="156"/>
      <c r="F972" s="157"/>
      <c r="G972" s="202"/>
    </row>
    <row r="973" spans="1:7" x14ac:dyDescent="0.25">
      <c r="A973" s="257"/>
      <c r="B973" s="158" t="s">
        <v>188</v>
      </c>
      <c r="C973" s="472">
        <v>1</v>
      </c>
      <c r="D973" s="175" t="s">
        <v>473</v>
      </c>
      <c r="E973" s="156">
        <v>300000</v>
      </c>
      <c r="F973" s="157">
        <f>E973*C973</f>
        <v>300000</v>
      </c>
      <c r="G973" s="202"/>
    </row>
    <row r="974" spans="1:7" x14ac:dyDescent="0.25">
      <c r="A974" s="257"/>
      <c r="B974" s="158" t="s">
        <v>189</v>
      </c>
      <c r="C974" s="472">
        <v>1</v>
      </c>
      <c r="D974" s="175" t="s">
        <v>473</v>
      </c>
      <c r="E974" s="156">
        <v>250000</v>
      </c>
      <c r="F974" s="157">
        <f>E974*C974</f>
        <v>250000</v>
      </c>
      <c r="G974" s="598"/>
    </row>
    <row r="975" spans="1:7" ht="15.75" thickBot="1" x14ac:dyDescent="0.3">
      <c r="A975" s="257"/>
      <c r="B975" s="159" t="s">
        <v>352</v>
      </c>
      <c r="C975" s="1726">
        <v>1</v>
      </c>
      <c r="D975" s="174" t="s">
        <v>473</v>
      </c>
      <c r="E975" s="161">
        <v>200000</v>
      </c>
      <c r="F975" s="157">
        <f>E975*C975</f>
        <v>200000</v>
      </c>
      <c r="G975" s="598"/>
    </row>
    <row r="976" spans="1:7" ht="15.75" thickBot="1" x14ac:dyDescent="0.3">
      <c r="A976" s="207"/>
      <c r="B976" s="1781" t="s">
        <v>548</v>
      </c>
      <c r="C976" s="1782"/>
      <c r="D976" s="1782"/>
      <c r="E976" s="1848"/>
      <c r="F976" s="1727">
        <f>SUM(F973:F975)</f>
        <v>750000</v>
      </c>
      <c r="G976" s="598"/>
    </row>
    <row r="977" spans="1:12" ht="24" x14ac:dyDescent="0.25">
      <c r="A977" s="391" t="s">
        <v>2715</v>
      </c>
      <c r="B977" s="1728" t="s">
        <v>2968</v>
      </c>
      <c r="C977" s="1729"/>
      <c r="D977" s="1729"/>
      <c r="E977" s="1729"/>
      <c r="F977" s="601"/>
      <c r="G977" s="202"/>
    </row>
    <row r="978" spans="1:12" ht="24" x14ac:dyDescent="0.25">
      <c r="A978" s="391" t="s">
        <v>2716</v>
      </c>
      <c r="B978" s="394" t="s">
        <v>2969</v>
      </c>
      <c r="C978" s="197"/>
      <c r="D978" s="211"/>
      <c r="E978" s="207"/>
      <c r="F978" s="164"/>
      <c r="G978" s="1730"/>
    </row>
    <row r="979" spans="1:12" x14ac:dyDescent="0.25">
      <c r="A979" s="391"/>
      <c r="B979" s="1731" t="s">
        <v>2983</v>
      </c>
      <c r="C979" s="1">
        <v>342</v>
      </c>
      <c r="D979" s="211" t="s">
        <v>1495</v>
      </c>
      <c r="E979" s="1732">
        <v>130000</v>
      </c>
      <c r="F979" s="164">
        <f>E979*C979</f>
        <v>44460000</v>
      </c>
      <c r="G979" s="1730"/>
    </row>
    <row r="980" spans="1:12" x14ac:dyDescent="0.25">
      <c r="A980" s="391"/>
      <c r="B980" s="1731" t="s">
        <v>1493</v>
      </c>
      <c r="C980" s="1">
        <v>663</v>
      </c>
      <c r="D980" s="211" t="s">
        <v>1494</v>
      </c>
      <c r="E980" s="1734">
        <v>3000</v>
      </c>
      <c r="F980" s="164">
        <f t="shared" ref="F980:F986" si="11">E980*C980</f>
        <v>1989000</v>
      </c>
      <c r="G980" s="1730"/>
    </row>
    <row r="981" spans="1:12" x14ac:dyDescent="0.25">
      <c r="A981" s="391"/>
      <c r="B981" s="1731" t="s">
        <v>2266</v>
      </c>
      <c r="C981" s="1">
        <v>1</v>
      </c>
      <c r="D981" s="211" t="s">
        <v>843</v>
      </c>
      <c r="E981" s="1734">
        <v>325000</v>
      </c>
      <c r="F981" s="164">
        <f t="shared" si="11"/>
        <v>325000</v>
      </c>
      <c r="G981" s="1730"/>
    </row>
    <row r="982" spans="1:12" x14ac:dyDescent="0.25">
      <c r="A982" s="391"/>
      <c r="B982" s="1731" t="s">
        <v>2267</v>
      </c>
      <c r="C982" s="1">
        <v>1.5</v>
      </c>
      <c r="D982" s="211" t="s">
        <v>843</v>
      </c>
      <c r="E982" s="1734">
        <v>350000</v>
      </c>
      <c r="F982" s="164">
        <f t="shared" si="11"/>
        <v>525000</v>
      </c>
      <c r="G982" s="1730"/>
    </row>
    <row r="983" spans="1:12" x14ac:dyDescent="0.25">
      <c r="A983" s="391"/>
      <c r="B983" s="1731" t="s">
        <v>1503</v>
      </c>
      <c r="C983" s="1712">
        <v>10</v>
      </c>
      <c r="D983" s="211" t="s">
        <v>110</v>
      </c>
      <c r="E983" s="1734">
        <v>75000</v>
      </c>
      <c r="F983" s="164">
        <f t="shared" si="11"/>
        <v>750000</v>
      </c>
      <c r="G983" s="1730"/>
    </row>
    <row r="984" spans="1:12" x14ac:dyDescent="0.25">
      <c r="A984" s="391"/>
      <c r="B984" s="1731" t="s">
        <v>1497</v>
      </c>
      <c r="C984" s="1712">
        <v>1</v>
      </c>
      <c r="D984" s="211" t="s">
        <v>110</v>
      </c>
      <c r="E984" s="1734">
        <v>500000</v>
      </c>
      <c r="F984" s="164">
        <f t="shared" si="11"/>
        <v>500000</v>
      </c>
      <c r="G984" s="1730"/>
    </row>
    <row r="985" spans="1:12" x14ac:dyDescent="0.25">
      <c r="A985" s="391"/>
      <c r="B985" s="1731" t="s">
        <v>1496</v>
      </c>
      <c r="C985" s="1712">
        <v>1</v>
      </c>
      <c r="D985" s="211" t="s">
        <v>110</v>
      </c>
      <c r="E985" s="1734">
        <v>250000</v>
      </c>
      <c r="F985" s="164">
        <f t="shared" si="11"/>
        <v>250000</v>
      </c>
      <c r="G985" s="1730"/>
    </row>
    <row r="986" spans="1:12" x14ac:dyDescent="0.25">
      <c r="A986" s="391"/>
      <c r="B986" s="1731" t="s">
        <v>1501</v>
      </c>
      <c r="C986" s="1712">
        <v>33</v>
      </c>
      <c r="D986" s="211" t="s">
        <v>843</v>
      </c>
      <c r="E986" s="1734">
        <v>380000</v>
      </c>
      <c r="F986" s="164">
        <f t="shared" si="11"/>
        <v>12540000</v>
      </c>
      <c r="G986" s="1730"/>
    </row>
    <row r="987" spans="1:12" ht="15.75" thickBot="1" x14ac:dyDescent="0.3">
      <c r="A987" s="391"/>
      <c r="B987" s="394"/>
      <c r="C987" s="197"/>
      <c r="D987" s="197"/>
      <c r="E987" s="197"/>
      <c r="F987" s="156"/>
      <c r="G987" s="1730"/>
    </row>
    <row r="988" spans="1:12" ht="15.75" thickBot="1" x14ac:dyDescent="0.3">
      <c r="A988" s="398"/>
      <c r="B988" s="1784" t="s">
        <v>548</v>
      </c>
      <c r="C988" s="1849"/>
      <c r="D988" s="1849"/>
      <c r="E988" s="1850"/>
      <c r="F988" s="176">
        <f>SUM(F979:F986)</f>
        <v>61339000</v>
      </c>
      <c r="G988" s="600"/>
    </row>
    <row r="989" spans="1:12" ht="15.75" thickBot="1" x14ac:dyDescent="0.3">
      <c r="A989" s="210"/>
      <c r="B989" s="1781" t="s">
        <v>26</v>
      </c>
      <c r="C989" s="1782"/>
      <c r="D989" s="1782"/>
      <c r="E989" s="1783"/>
      <c r="F989" s="163">
        <f>F988+F976</f>
        <v>62089000</v>
      </c>
      <c r="G989" s="399" t="s">
        <v>1845</v>
      </c>
      <c r="L989" s="172">
        <f>F989</f>
        <v>62089000</v>
      </c>
    </row>
    <row r="990" spans="1:12" s="444" customFormat="1" ht="12" x14ac:dyDescent="0.2">
      <c r="A990" s="1762" t="s">
        <v>549</v>
      </c>
      <c r="B990" s="1762"/>
      <c r="C990" s="188" t="s">
        <v>27</v>
      </c>
      <c r="D990" s="1763" t="s">
        <v>1429</v>
      </c>
      <c r="E990" s="1763"/>
      <c r="F990" s="1763"/>
      <c r="G990" s="188"/>
    </row>
    <row r="991" spans="1:12" s="444" customFormat="1" ht="12" x14ac:dyDescent="0.2">
      <c r="A991" s="1762" t="s">
        <v>28</v>
      </c>
      <c r="B991" s="1762"/>
      <c r="C991" s="188"/>
      <c r="D991" s="1764" t="s">
        <v>2833</v>
      </c>
      <c r="E991" s="1764"/>
      <c r="F991" s="1764"/>
      <c r="G991" s="188"/>
    </row>
    <row r="992" spans="1:12" s="444" customFormat="1" ht="12" x14ac:dyDescent="0.2">
      <c r="A992" s="186"/>
      <c r="B992" s="187"/>
      <c r="C992" s="188"/>
      <c r="D992" s="189"/>
      <c r="E992" s="218"/>
      <c r="F992" s="218"/>
      <c r="G992" s="188"/>
    </row>
    <row r="993" spans="1:7" s="444" customFormat="1" ht="12" x14ac:dyDescent="0.2">
      <c r="A993" s="186"/>
      <c r="B993" s="187"/>
      <c r="C993" s="188"/>
      <c r="D993" s="189"/>
      <c r="E993" s="218"/>
      <c r="F993" s="218"/>
      <c r="G993" s="188"/>
    </row>
    <row r="994" spans="1:7" s="444" customFormat="1" ht="12" x14ac:dyDescent="0.2">
      <c r="A994" s="1762"/>
      <c r="B994" s="1762"/>
      <c r="C994" s="188"/>
      <c r="D994" s="189"/>
      <c r="E994" s="1762"/>
      <c r="F994" s="1762"/>
      <c r="G994" s="188"/>
    </row>
    <row r="995" spans="1:7" s="444" customFormat="1" ht="12" x14ac:dyDescent="0.2">
      <c r="A995" s="1762" t="s">
        <v>29</v>
      </c>
      <c r="B995" s="1762"/>
      <c r="C995" s="188"/>
      <c r="D995" s="1762" t="s">
        <v>2954</v>
      </c>
      <c r="E995" s="1762"/>
      <c r="F995" s="1762"/>
      <c r="G995" s="188"/>
    </row>
    <row r="996" spans="1:7" x14ac:dyDescent="0.25">
      <c r="A996" s="1852" t="s">
        <v>995</v>
      </c>
      <c r="B996" s="1852"/>
      <c r="C996" s="1852"/>
      <c r="D996" s="1852"/>
      <c r="E996" s="1852"/>
      <c r="F996" s="1852"/>
      <c r="G996" s="1852"/>
    </row>
    <row r="997" spans="1:7" x14ac:dyDescent="0.25">
      <c r="A997" s="1852" t="s">
        <v>1</v>
      </c>
      <c r="B997" s="1852"/>
      <c r="C997" s="1852"/>
      <c r="D997" s="1852"/>
      <c r="E997" s="1852"/>
      <c r="F997" s="1852"/>
      <c r="G997" s="1852"/>
    </row>
    <row r="998" spans="1:7" x14ac:dyDescent="0.25">
      <c r="A998" s="1852" t="s">
        <v>1425</v>
      </c>
      <c r="B998" s="1852"/>
      <c r="C998" s="1852"/>
      <c r="D998" s="1852"/>
      <c r="E998" s="1852"/>
      <c r="F998" s="1852"/>
      <c r="G998" s="1852"/>
    </row>
    <row r="999" spans="1:7" x14ac:dyDescent="0.25">
      <c r="A999" s="1307"/>
      <c r="B999" s="1308"/>
      <c r="C999" s="1309"/>
      <c r="D999" s="1309"/>
      <c r="E999" s="1310"/>
      <c r="F999" s="1310"/>
      <c r="G999" s="1310"/>
    </row>
    <row r="1000" spans="1:7" x14ac:dyDescent="0.25">
      <c r="A1000" s="1310" t="s">
        <v>1483</v>
      </c>
      <c r="B1000" s="1311"/>
      <c r="C1000" s="1312"/>
      <c r="D1000" s="1312"/>
      <c r="E1000" s="1313"/>
      <c r="F1000" s="1313"/>
      <c r="G1000" s="1310"/>
    </row>
    <row r="1001" spans="1:7" x14ac:dyDescent="0.25">
      <c r="A1001" s="1314" t="s">
        <v>712</v>
      </c>
      <c r="B1001" s="1315" t="s">
        <v>1504</v>
      </c>
      <c r="C1001" s="1312"/>
      <c r="D1001" s="1312"/>
      <c r="E1001" s="1313" t="s">
        <v>1484</v>
      </c>
      <c r="F1001" s="1313"/>
      <c r="G1001" s="1310"/>
    </row>
    <row r="1002" spans="1:7" ht="60" x14ac:dyDescent="0.25">
      <c r="A1002" s="1316" t="s">
        <v>749</v>
      </c>
      <c r="B1002" s="1317" t="s">
        <v>2959</v>
      </c>
      <c r="C1002" s="1312"/>
      <c r="D1002" s="1312"/>
      <c r="E1002" s="1313" t="s">
        <v>1485</v>
      </c>
      <c r="F1002" s="1313"/>
      <c r="G1002" s="1314"/>
    </row>
    <row r="1003" spans="1:7" ht="24" x14ac:dyDescent="0.25">
      <c r="A1003" s="1316" t="s">
        <v>1486</v>
      </c>
      <c r="B1003" s="1317" t="s">
        <v>2958</v>
      </c>
      <c r="C1003" s="1312"/>
      <c r="D1003" s="1312"/>
      <c r="E1003" s="1313"/>
      <c r="F1003" s="1313"/>
      <c r="G1003" s="1314"/>
    </row>
    <row r="1004" spans="1:7" x14ac:dyDescent="0.25">
      <c r="A1004" s="1310" t="s">
        <v>1487</v>
      </c>
      <c r="B1004" s="1311" t="s">
        <v>61</v>
      </c>
      <c r="C1004" s="1312"/>
      <c r="D1004" s="1312"/>
      <c r="E1004" s="1310"/>
      <c r="F1004" s="1310"/>
      <c r="G1004" s="1310"/>
    </row>
    <row r="1005" spans="1:7" x14ac:dyDescent="0.25">
      <c r="A1005" s="1314" t="s">
        <v>62</v>
      </c>
      <c r="B1005" s="1315" t="s">
        <v>63</v>
      </c>
      <c r="C1005" s="1312"/>
      <c r="D1005" s="1312"/>
      <c r="E1005" s="1314"/>
      <c r="F1005" s="1314"/>
      <c r="G1005" s="1314"/>
    </row>
    <row r="1006" spans="1:7" x14ac:dyDescent="0.25">
      <c r="A1006" s="1318"/>
      <c r="B1006" s="1319"/>
      <c r="C1006" s="1320"/>
      <c r="D1006" s="1320"/>
      <c r="E1006" s="1318"/>
      <c r="F1006" s="1318"/>
      <c r="G1006" s="1318"/>
    </row>
    <row r="1007" spans="1:7" ht="24" x14ac:dyDescent="0.25">
      <c r="A1007" s="1321" t="s">
        <v>30</v>
      </c>
      <c r="B1007" s="1321" t="s">
        <v>11</v>
      </c>
      <c r="C1007" s="1855" t="s">
        <v>12</v>
      </c>
      <c r="D1007" s="1856"/>
      <c r="E1007" s="1323" t="s">
        <v>13</v>
      </c>
      <c r="F1007" s="1322" t="s">
        <v>14</v>
      </c>
      <c r="G1007" s="1324" t="s">
        <v>266</v>
      </c>
    </row>
    <row r="1008" spans="1:7" x14ac:dyDescent="0.25">
      <c r="A1008" s="1325">
        <v>1</v>
      </c>
      <c r="B1008" s="1326">
        <v>2</v>
      </c>
      <c r="C1008" s="1853">
        <v>3</v>
      </c>
      <c r="D1008" s="1854"/>
      <c r="E1008" s="1329">
        <v>4</v>
      </c>
      <c r="F1008" s="1327">
        <v>5</v>
      </c>
      <c r="G1008" s="1330">
        <v>7</v>
      </c>
    </row>
    <row r="1009" spans="1:12" x14ac:dyDescent="0.25">
      <c r="A1009" s="1427" t="s">
        <v>2714</v>
      </c>
      <c r="B1009" s="1536" t="s">
        <v>287</v>
      </c>
      <c r="C1009" s="1327"/>
      <c r="D1009" s="1328"/>
      <c r="E1009" s="1329"/>
      <c r="F1009" s="1327"/>
      <c r="G1009" s="1330"/>
    </row>
    <row r="1010" spans="1:12" ht="24" x14ac:dyDescent="0.25">
      <c r="A1010" s="1331" t="s">
        <v>2715</v>
      </c>
      <c r="B1010" s="1332" t="s">
        <v>485</v>
      </c>
      <c r="C1010" s="1333"/>
      <c r="D1010" s="1334"/>
      <c r="E1010" s="1335"/>
      <c r="F1010" s="1336"/>
      <c r="G1010" s="1330"/>
    </row>
    <row r="1011" spans="1:12" ht="24" x14ac:dyDescent="0.25">
      <c r="A1011" s="1331" t="s">
        <v>2716</v>
      </c>
      <c r="B1011" s="1332" t="s">
        <v>2713</v>
      </c>
      <c r="C1011" s="1333"/>
      <c r="D1011" s="1334"/>
      <c r="E1011" s="1335"/>
      <c r="F1011" s="1336"/>
      <c r="G1011" s="1330"/>
    </row>
    <row r="1012" spans="1:12" ht="24.75" thickBot="1" x14ac:dyDescent="0.3">
      <c r="A1012" s="1338"/>
      <c r="B1012" s="1339" t="s">
        <v>2960</v>
      </c>
      <c r="C1012" s="1337">
        <v>1</v>
      </c>
      <c r="D1012" s="1334" t="s">
        <v>138</v>
      </c>
      <c r="E1012" s="116">
        <v>105432153</v>
      </c>
      <c r="F1012" s="1336">
        <f>E1012*C1012</f>
        <v>105432153</v>
      </c>
      <c r="G1012" s="1330"/>
    </row>
    <row r="1013" spans="1:12" ht="15.75" thickBot="1" x14ac:dyDescent="0.3">
      <c r="A1013" s="1340"/>
      <c r="B1013" s="1845" t="s">
        <v>548</v>
      </c>
      <c r="C1013" s="1846"/>
      <c r="D1013" s="1846"/>
      <c r="E1013" s="1847"/>
      <c r="F1013" s="1341">
        <f>SUM(F1012:F1012)</f>
        <v>105432153</v>
      </c>
      <c r="G1013" s="1330"/>
    </row>
    <row r="1014" spans="1:12" ht="15.75" thickBot="1" x14ac:dyDescent="0.3">
      <c r="A1014" s="1343"/>
      <c r="B1014" s="1845" t="s">
        <v>26</v>
      </c>
      <c r="C1014" s="1846"/>
      <c r="D1014" s="1846"/>
      <c r="E1014" s="1846"/>
      <c r="F1014" s="1709"/>
      <c r="G1014" s="1354" t="s">
        <v>1845</v>
      </c>
      <c r="L1014" s="172"/>
    </row>
    <row r="1015" spans="1:12" x14ac:dyDescent="0.25">
      <c r="A1015" s="116"/>
      <c r="B1015" s="116"/>
      <c r="C1015" s="116"/>
      <c r="D1015" s="116"/>
      <c r="E1015" s="116"/>
      <c r="F1015" s="116"/>
      <c r="G1015" s="116"/>
    </row>
    <row r="1016" spans="1:12" x14ac:dyDescent="0.25">
      <c r="A1016" s="1852" t="s">
        <v>995</v>
      </c>
      <c r="B1016" s="1852"/>
      <c r="C1016" s="1852"/>
      <c r="D1016" s="1852"/>
      <c r="E1016" s="1852"/>
      <c r="F1016" s="1852"/>
      <c r="G1016" s="1852"/>
    </row>
    <row r="1017" spans="1:12" x14ac:dyDescent="0.25">
      <c r="A1017" s="1852" t="s">
        <v>1</v>
      </c>
      <c r="B1017" s="1852"/>
      <c r="C1017" s="1852"/>
      <c r="D1017" s="1852"/>
      <c r="E1017" s="1852"/>
      <c r="F1017" s="1852"/>
      <c r="G1017" s="1852"/>
    </row>
    <row r="1018" spans="1:12" x14ac:dyDescent="0.25">
      <c r="A1018" s="1852" t="s">
        <v>1425</v>
      </c>
      <c r="B1018" s="1852"/>
      <c r="C1018" s="1852"/>
      <c r="D1018" s="1852"/>
      <c r="E1018" s="1852"/>
      <c r="F1018" s="1852"/>
      <c r="G1018" s="1852"/>
    </row>
    <row r="1019" spans="1:12" x14ac:dyDescent="0.25">
      <c r="A1019" s="1307"/>
      <c r="B1019" s="1308"/>
      <c r="C1019" s="1309"/>
      <c r="D1019" s="1309"/>
      <c r="E1019" s="1310"/>
      <c r="F1019" s="1310"/>
      <c r="G1019" s="1310"/>
    </row>
    <row r="1020" spans="1:12" x14ac:dyDescent="0.25">
      <c r="A1020" s="1310" t="s">
        <v>1483</v>
      </c>
      <c r="B1020" s="1311"/>
      <c r="C1020" s="1312"/>
      <c r="D1020" s="1312"/>
      <c r="E1020" s="1313"/>
      <c r="F1020" s="1313"/>
      <c r="G1020" s="1310"/>
    </row>
    <row r="1021" spans="1:12" x14ac:dyDescent="0.25">
      <c r="A1021" s="1314" t="s">
        <v>712</v>
      </c>
      <c r="B1021" s="1315" t="s">
        <v>1504</v>
      </c>
      <c r="C1021" s="1312"/>
      <c r="D1021" s="1312"/>
      <c r="E1021" s="1313" t="s">
        <v>1484</v>
      </c>
      <c r="F1021" s="1313"/>
      <c r="G1021" s="1310"/>
    </row>
    <row r="1022" spans="1:12" ht="60" x14ac:dyDescent="0.25">
      <c r="A1022" s="1316" t="s">
        <v>749</v>
      </c>
      <c r="B1022" s="1317" t="s">
        <v>2323</v>
      </c>
      <c r="C1022" s="1312"/>
      <c r="D1022" s="1312"/>
      <c r="E1022" s="1313" t="s">
        <v>1485</v>
      </c>
      <c r="F1022" s="1313"/>
      <c r="G1022" s="1314"/>
    </row>
    <row r="1023" spans="1:12" ht="24" x14ac:dyDescent="0.25">
      <c r="A1023" s="1316" t="s">
        <v>1486</v>
      </c>
      <c r="B1023" s="1317" t="s">
        <v>2324</v>
      </c>
      <c r="C1023" s="1312"/>
      <c r="D1023" s="1312"/>
      <c r="E1023" s="1313"/>
      <c r="F1023" s="1313"/>
      <c r="G1023" s="1314"/>
    </row>
    <row r="1024" spans="1:12" x14ac:dyDescent="0.25">
      <c r="A1024" s="1310" t="s">
        <v>1487</v>
      </c>
      <c r="B1024" s="1311" t="s">
        <v>61</v>
      </c>
      <c r="C1024" s="1312"/>
      <c r="D1024" s="1312"/>
      <c r="E1024" s="1310"/>
      <c r="F1024" s="1702"/>
      <c r="G1024" s="1310"/>
    </row>
    <row r="1025" spans="1:12" x14ac:dyDescent="0.25">
      <c r="A1025" s="1314" t="s">
        <v>62</v>
      </c>
      <c r="B1025" s="1315" t="s">
        <v>63</v>
      </c>
      <c r="C1025" s="1312"/>
      <c r="D1025" s="1312"/>
      <c r="E1025" s="1314"/>
      <c r="F1025" s="1314"/>
      <c r="G1025" s="1314"/>
    </row>
    <row r="1026" spans="1:12" x14ac:dyDescent="0.25">
      <c r="A1026" s="1318"/>
      <c r="B1026" s="1319"/>
      <c r="C1026" s="1320"/>
      <c r="D1026" s="1320"/>
      <c r="E1026" s="1318"/>
      <c r="F1026" s="1318"/>
      <c r="G1026" s="1318"/>
    </row>
    <row r="1027" spans="1:12" ht="24" x14ac:dyDescent="0.25">
      <c r="A1027" s="1321" t="s">
        <v>30</v>
      </c>
      <c r="B1027" s="1321" t="s">
        <v>11</v>
      </c>
      <c r="C1027" s="1855" t="s">
        <v>12</v>
      </c>
      <c r="D1027" s="1856"/>
      <c r="E1027" s="1323" t="s">
        <v>13</v>
      </c>
      <c r="F1027" s="1322" t="s">
        <v>14</v>
      </c>
      <c r="G1027" s="1324" t="s">
        <v>266</v>
      </c>
    </row>
    <row r="1028" spans="1:12" x14ac:dyDescent="0.25">
      <c r="A1028" s="1325">
        <v>1</v>
      </c>
      <c r="B1028" s="1326">
        <v>2</v>
      </c>
      <c r="C1028" s="1853">
        <v>3</v>
      </c>
      <c r="D1028" s="1854"/>
      <c r="E1028" s="1329">
        <v>4</v>
      </c>
      <c r="F1028" s="1327">
        <v>5</v>
      </c>
      <c r="G1028" s="1330">
        <v>7</v>
      </c>
    </row>
    <row r="1029" spans="1:12" x14ac:dyDescent="0.25">
      <c r="A1029" s="1703">
        <v>0.125</v>
      </c>
      <c r="B1029" s="1332" t="s">
        <v>1505</v>
      </c>
      <c r="C1029" s="1333"/>
      <c r="D1029" s="1334"/>
      <c r="E1029" s="1335"/>
      <c r="F1029" s="1336"/>
      <c r="G1029" s="1330"/>
    </row>
    <row r="1030" spans="1:12" x14ac:dyDescent="0.25">
      <c r="A1030" s="1331" t="s">
        <v>2289</v>
      </c>
      <c r="B1030" s="1332" t="s">
        <v>2246</v>
      </c>
      <c r="C1030" s="1333"/>
      <c r="D1030" s="1334"/>
      <c r="E1030" s="1335"/>
      <c r="F1030" s="1336"/>
      <c r="G1030" s="1330"/>
    </row>
    <row r="1031" spans="1:12" ht="24" x14ac:dyDescent="0.25">
      <c r="A1031" s="1331" t="s">
        <v>2290</v>
      </c>
      <c r="B1031" s="1332" t="s">
        <v>1499</v>
      </c>
      <c r="C1031" s="1337"/>
      <c r="D1031" s="1334"/>
      <c r="E1031" s="1335"/>
      <c r="F1031" s="1336"/>
      <c r="G1031" s="1330"/>
    </row>
    <row r="1032" spans="1:12" ht="15.75" thickBot="1" x14ac:dyDescent="0.3">
      <c r="A1032" s="1338"/>
      <c r="B1032" s="1339" t="s">
        <v>2248</v>
      </c>
      <c r="C1032" s="1337">
        <v>1</v>
      </c>
      <c r="D1032" s="1334" t="s">
        <v>222</v>
      </c>
      <c r="E1032" s="1335">
        <v>13000</v>
      </c>
      <c r="F1032" s="1336">
        <f>E1032*C1032</f>
        <v>13000</v>
      </c>
      <c r="G1032" s="1330"/>
    </row>
    <row r="1033" spans="1:12" ht="15.75" thickBot="1" x14ac:dyDescent="0.3">
      <c r="A1033" s="1340"/>
      <c r="B1033" s="1845" t="s">
        <v>548</v>
      </c>
      <c r="C1033" s="1846"/>
      <c r="D1033" s="1846"/>
      <c r="E1033" s="1847"/>
      <c r="F1033" s="1341">
        <f>SUM(F1032:F1032)</f>
        <v>13000</v>
      </c>
      <c r="G1033" s="1330"/>
    </row>
    <row r="1034" spans="1:12" x14ac:dyDescent="0.25">
      <c r="A1034" s="1331" t="s">
        <v>2291</v>
      </c>
      <c r="B1034" s="1342" t="s">
        <v>1488</v>
      </c>
      <c r="C1034" s="1343"/>
      <c r="D1034" s="1344"/>
      <c r="E1034" s="1340"/>
      <c r="F1034" s="1345"/>
      <c r="G1034" s="1330"/>
    </row>
    <row r="1035" spans="1:12" ht="15.75" thickBot="1" x14ac:dyDescent="0.3">
      <c r="A1035" s="1331"/>
      <c r="B1035" s="1348" t="s">
        <v>1490</v>
      </c>
      <c r="C1035" s="1349">
        <v>5</v>
      </c>
      <c r="D1035" s="1350" t="s">
        <v>419</v>
      </c>
      <c r="E1035" s="1351">
        <v>130000</v>
      </c>
      <c r="F1035" s="1352">
        <f>E1035*C1035</f>
        <v>650000</v>
      </c>
      <c r="G1035" s="1330"/>
    </row>
    <row r="1036" spans="1:12" ht="15.75" thickBot="1" x14ac:dyDescent="0.3">
      <c r="A1036" s="1353"/>
      <c r="B1036" s="1842" t="s">
        <v>548</v>
      </c>
      <c r="C1036" s="1843"/>
      <c r="D1036" s="1843"/>
      <c r="E1036" s="1844"/>
      <c r="F1036" s="1341">
        <f>SUM(F1035:F1035)</f>
        <v>650000</v>
      </c>
      <c r="G1036" s="1354"/>
    </row>
    <row r="1037" spans="1:12" ht="15.75" thickBot="1" x14ac:dyDescent="0.3">
      <c r="A1037" s="1338"/>
      <c r="B1037" s="1359"/>
      <c r="C1037" s="1360"/>
      <c r="D1037" s="1361"/>
      <c r="E1037" s="1362"/>
      <c r="F1037" s="1352"/>
      <c r="G1037" s="1330"/>
    </row>
    <row r="1038" spans="1:12" ht="15.75" thickBot="1" x14ac:dyDescent="0.3">
      <c r="A1038" s="1343"/>
      <c r="B1038" s="1845" t="s">
        <v>26</v>
      </c>
      <c r="C1038" s="1846"/>
      <c r="D1038" s="1846"/>
      <c r="E1038" s="1847"/>
      <c r="F1038" s="1341"/>
      <c r="G1038" s="1354"/>
      <c r="L1038" s="172"/>
    </row>
    <row r="1039" spans="1:12" x14ac:dyDescent="0.25">
      <c r="A1039" s="116"/>
      <c r="B1039" s="116"/>
      <c r="C1039" s="116"/>
      <c r="D1039" s="116"/>
      <c r="E1039" s="116"/>
      <c r="F1039" s="116"/>
      <c r="G1039" s="116"/>
    </row>
    <row r="1040" spans="1:12" x14ac:dyDescent="0.25">
      <c r="A1040" s="116"/>
      <c r="B1040" s="116"/>
      <c r="C1040" s="116"/>
      <c r="D1040" s="116"/>
      <c r="E1040" s="116"/>
      <c r="F1040" s="1704"/>
      <c r="G1040" s="116"/>
    </row>
    <row r="1041" spans="1:7" x14ac:dyDescent="0.25">
      <c r="A1041" s="116"/>
      <c r="B1041" s="116"/>
      <c r="C1041" s="116"/>
      <c r="D1041" s="116"/>
      <c r="E1041" s="116"/>
      <c r="F1041" s="1705"/>
      <c r="G1041" s="116"/>
    </row>
    <row r="1042" spans="1:7" x14ac:dyDescent="0.25">
      <c r="A1042" s="116"/>
      <c r="B1042" s="116"/>
      <c r="C1042" s="116"/>
      <c r="D1042" s="116"/>
      <c r="E1042" s="116"/>
      <c r="F1042" s="1704"/>
      <c r="G1042" s="116"/>
    </row>
    <row r="1043" spans="1:7" x14ac:dyDescent="0.25">
      <c r="A1043" s="116"/>
      <c r="B1043" s="116"/>
      <c r="C1043" s="116"/>
      <c r="D1043" s="116"/>
      <c r="E1043" s="116"/>
      <c r="F1043" s="116"/>
      <c r="G1043" s="116"/>
    </row>
    <row r="1044" spans="1:7" x14ac:dyDescent="0.25">
      <c r="A1044" s="1852" t="s">
        <v>995</v>
      </c>
      <c r="B1044" s="1852"/>
      <c r="C1044" s="1852"/>
      <c r="D1044" s="1852"/>
      <c r="E1044" s="1852"/>
      <c r="F1044" s="1852"/>
      <c r="G1044" s="1852"/>
    </row>
    <row r="1045" spans="1:7" x14ac:dyDescent="0.25">
      <c r="A1045" s="1852" t="s">
        <v>1</v>
      </c>
      <c r="B1045" s="1852"/>
      <c r="C1045" s="1852"/>
      <c r="D1045" s="1852"/>
      <c r="E1045" s="1852"/>
      <c r="F1045" s="1852"/>
      <c r="G1045" s="1852"/>
    </row>
    <row r="1046" spans="1:7" x14ac:dyDescent="0.25">
      <c r="A1046" s="1852" t="s">
        <v>1425</v>
      </c>
      <c r="B1046" s="1852"/>
      <c r="C1046" s="1852"/>
      <c r="D1046" s="1852"/>
      <c r="E1046" s="1852"/>
      <c r="F1046" s="1852"/>
      <c r="G1046" s="1852"/>
    </row>
    <row r="1047" spans="1:7" x14ac:dyDescent="0.25">
      <c r="A1047" s="1307"/>
      <c r="B1047" s="1308"/>
      <c r="C1047" s="1309"/>
      <c r="D1047" s="1309"/>
      <c r="E1047" s="1310"/>
      <c r="F1047" s="1310"/>
      <c r="G1047" s="1310"/>
    </row>
    <row r="1048" spans="1:7" x14ac:dyDescent="0.25">
      <c r="A1048" s="1310" t="s">
        <v>1483</v>
      </c>
      <c r="B1048" s="1311"/>
      <c r="C1048" s="1312"/>
      <c r="D1048" s="1312"/>
      <c r="E1048" s="1313"/>
      <c r="F1048" s="1313"/>
      <c r="G1048" s="1310"/>
    </row>
    <row r="1049" spans="1:7" x14ac:dyDescent="0.25">
      <c r="A1049" s="1314" t="s">
        <v>712</v>
      </c>
      <c r="B1049" s="1315" t="s">
        <v>1504</v>
      </c>
      <c r="C1049" s="1312"/>
      <c r="D1049" s="1312"/>
      <c r="E1049" s="1313" t="s">
        <v>1484</v>
      </c>
      <c r="F1049" s="1313"/>
      <c r="G1049" s="1310"/>
    </row>
    <row r="1050" spans="1:7" ht="60" x14ac:dyDescent="0.25">
      <c r="A1050" s="1316" t="s">
        <v>749</v>
      </c>
      <c r="B1050" s="1317" t="s">
        <v>2325</v>
      </c>
      <c r="C1050" s="1312"/>
      <c r="D1050" s="1312"/>
      <c r="E1050" s="1313" t="s">
        <v>1485</v>
      </c>
      <c r="F1050" s="1313"/>
      <c r="G1050" s="1314"/>
    </row>
    <row r="1051" spans="1:7" ht="24" x14ac:dyDescent="0.25">
      <c r="A1051" s="1316" t="s">
        <v>1486</v>
      </c>
      <c r="B1051" s="1317" t="s">
        <v>2326</v>
      </c>
      <c r="C1051" s="1312"/>
      <c r="D1051" s="1312"/>
      <c r="E1051" s="1313"/>
      <c r="F1051" s="1313"/>
      <c r="G1051" s="1314"/>
    </row>
    <row r="1052" spans="1:7" x14ac:dyDescent="0.25">
      <c r="A1052" s="1310" t="s">
        <v>1487</v>
      </c>
      <c r="B1052" s="1311" t="s">
        <v>61</v>
      </c>
      <c r="C1052" s="1312"/>
      <c r="D1052" s="1312"/>
      <c r="E1052" s="1310"/>
      <c r="F1052" s="1310"/>
      <c r="G1052" s="1310"/>
    </row>
    <row r="1053" spans="1:7" x14ac:dyDescent="0.25">
      <c r="A1053" s="1314" t="s">
        <v>62</v>
      </c>
      <c r="B1053" s="1315" t="s">
        <v>63</v>
      </c>
      <c r="C1053" s="1312"/>
      <c r="D1053" s="1312"/>
      <c r="E1053" s="1314"/>
      <c r="F1053" s="1314"/>
      <c r="G1053" s="1314"/>
    </row>
    <row r="1054" spans="1:7" x14ac:dyDescent="0.25">
      <c r="A1054" s="1318"/>
      <c r="B1054" s="1319"/>
      <c r="C1054" s="1320"/>
      <c r="D1054" s="1320"/>
      <c r="E1054" s="1318"/>
      <c r="F1054" s="1318"/>
      <c r="G1054" s="1318"/>
    </row>
    <row r="1055" spans="1:7" ht="24" x14ac:dyDescent="0.25">
      <c r="A1055" s="1321" t="s">
        <v>30</v>
      </c>
      <c r="B1055" s="1321" t="s">
        <v>11</v>
      </c>
      <c r="C1055" s="1855" t="s">
        <v>12</v>
      </c>
      <c r="D1055" s="1856"/>
      <c r="E1055" s="1323" t="s">
        <v>13</v>
      </c>
      <c r="F1055" s="1322" t="s">
        <v>14</v>
      </c>
      <c r="G1055" s="1324" t="s">
        <v>266</v>
      </c>
    </row>
    <row r="1056" spans="1:7" x14ac:dyDescent="0.25">
      <c r="A1056" s="1325">
        <v>1</v>
      </c>
      <c r="B1056" s="1326">
        <v>2</v>
      </c>
      <c r="C1056" s="1853">
        <v>3</v>
      </c>
      <c r="D1056" s="1854"/>
      <c r="E1056" s="1329">
        <v>4</v>
      </c>
      <c r="F1056" s="1327">
        <v>5</v>
      </c>
      <c r="G1056" s="1330">
        <v>7</v>
      </c>
    </row>
    <row r="1057" spans="1:12" x14ac:dyDescent="0.25">
      <c r="A1057" s="1331" t="s">
        <v>2288</v>
      </c>
      <c r="B1057" s="1332" t="s">
        <v>1505</v>
      </c>
      <c r="C1057" s="1333"/>
      <c r="D1057" s="1334"/>
      <c r="E1057" s="1335"/>
      <c r="F1057" s="1336"/>
      <c r="G1057" s="1330"/>
    </row>
    <row r="1058" spans="1:12" x14ac:dyDescent="0.25">
      <c r="A1058" s="1331" t="s">
        <v>2289</v>
      </c>
      <c r="B1058" s="1332" t="s">
        <v>2246</v>
      </c>
      <c r="C1058" s="1333"/>
      <c r="D1058" s="1334"/>
      <c r="E1058" s="1335"/>
      <c r="F1058" s="1336"/>
      <c r="G1058" s="1330"/>
    </row>
    <row r="1059" spans="1:12" ht="24" x14ac:dyDescent="0.25">
      <c r="A1059" s="1331" t="s">
        <v>2290</v>
      </c>
      <c r="B1059" s="1332" t="s">
        <v>1499</v>
      </c>
      <c r="C1059" s="1337"/>
      <c r="D1059" s="1334"/>
      <c r="E1059" s="1335"/>
      <c r="F1059" s="1336"/>
      <c r="G1059" s="1330"/>
    </row>
    <row r="1060" spans="1:12" ht="15.75" thickBot="1" x14ac:dyDescent="0.3">
      <c r="A1060" s="1338"/>
      <c r="B1060" s="1339" t="s">
        <v>2248</v>
      </c>
      <c r="C1060" s="1337">
        <v>1</v>
      </c>
      <c r="D1060" s="1334" t="s">
        <v>222</v>
      </c>
      <c r="E1060" s="1335">
        <v>300000</v>
      </c>
      <c r="F1060" s="1336">
        <f>E1060*C1060</f>
        <v>300000</v>
      </c>
      <c r="G1060" s="1330"/>
    </row>
    <row r="1061" spans="1:12" ht="15.75" thickBot="1" x14ac:dyDescent="0.3">
      <c r="A1061" s="1340"/>
      <c r="B1061" s="1845" t="s">
        <v>548</v>
      </c>
      <c r="C1061" s="1846"/>
      <c r="D1061" s="1846"/>
      <c r="E1061" s="1847"/>
      <c r="F1061" s="1341">
        <f>SUM(F1060:F1060)</f>
        <v>300000</v>
      </c>
      <c r="G1061" s="1330"/>
    </row>
    <row r="1062" spans="1:12" x14ac:dyDescent="0.25">
      <c r="A1062" s="1331" t="s">
        <v>2291</v>
      </c>
      <c r="B1062" s="1342" t="s">
        <v>1488</v>
      </c>
      <c r="C1062" s="1343"/>
      <c r="D1062" s="1344"/>
      <c r="E1062" s="1340"/>
      <c r="F1062" s="1345"/>
      <c r="G1062" s="1330"/>
    </row>
    <row r="1063" spans="1:12" ht="15.75" thickBot="1" x14ac:dyDescent="0.3">
      <c r="A1063" s="1331"/>
      <c r="B1063" s="1348" t="s">
        <v>1490</v>
      </c>
      <c r="C1063" s="1349">
        <v>200</v>
      </c>
      <c r="D1063" s="1350" t="s">
        <v>419</v>
      </c>
      <c r="E1063" s="1351">
        <v>130000</v>
      </c>
      <c r="F1063" s="1352">
        <f>E1063*C1063</f>
        <v>26000000</v>
      </c>
      <c r="G1063" s="1330"/>
    </row>
    <row r="1064" spans="1:12" ht="15.75" thickBot="1" x14ac:dyDescent="0.3">
      <c r="A1064" s="1353"/>
      <c r="B1064" s="1842" t="s">
        <v>548</v>
      </c>
      <c r="C1064" s="1843"/>
      <c r="D1064" s="1843"/>
      <c r="E1064" s="1844"/>
      <c r="F1064" s="1341">
        <f>SUM(F1063:F1063)</f>
        <v>26000000</v>
      </c>
      <c r="G1064" s="1354"/>
    </row>
    <row r="1065" spans="1:12" ht="15.75" thickBot="1" x14ac:dyDescent="0.3">
      <c r="A1065" s="1338"/>
      <c r="B1065" s="1359"/>
      <c r="C1065" s="1360"/>
      <c r="D1065" s="1361"/>
      <c r="E1065" s="1362"/>
      <c r="F1065" s="1352"/>
      <c r="G1065" s="1330"/>
    </row>
    <row r="1066" spans="1:12" ht="15.75" thickBot="1" x14ac:dyDescent="0.3">
      <c r="A1066" s="1343"/>
      <c r="B1066" s="1845" t="s">
        <v>26</v>
      </c>
      <c r="C1066" s="1846"/>
      <c r="D1066" s="1846"/>
      <c r="E1066" s="1847"/>
      <c r="F1066" s="1341"/>
      <c r="G1066" s="1354" t="s">
        <v>1845</v>
      </c>
      <c r="L1066" s="172"/>
    </row>
    <row r="1067" spans="1:12" x14ac:dyDescent="0.25">
      <c r="A1067" s="116"/>
      <c r="B1067" s="116"/>
      <c r="C1067" s="116"/>
      <c r="D1067" s="116"/>
      <c r="E1067" s="116"/>
      <c r="F1067" s="116"/>
      <c r="G1067" s="116"/>
    </row>
    <row r="1068" spans="1:12" x14ac:dyDescent="0.25">
      <c r="A1068" s="116"/>
      <c r="B1068" s="116"/>
      <c r="C1068" s="116"/>
      <c r="D1068" s="116"/>
      <c r="E1068" s="116"/>
      <c r="F1068" s="116"/>
      <c r="G1068" s="116"/>
    </row>
    <row r="1069" spans="1:12" x14ac:dyDescent="0.25">
      <c r="A1069" s="116"/>
      <c r="B1069" s="116"/>
      <c r="C1069" s="116"/>
      <c r="D1069" s="116"/>
      <c r="E1069" s="116"/>
      <c r="F1069" s="1704"/>
      <c r="G1069" s="116"/>
    </row>
    <row r="1070" spans="1:12" x14ac:dyDescent="0.25">
      <c r="A1070" s="116"/>
      <c r="B1070" s="116"/>
      <c r="C1070" s="116"/>
      <c r="D1070" s="116"/>
      <c r="E1070" s="116"/>
      <c r="F1070" s="116"/>
      <c r="G1070" s="116"/>
    </row>
    <row r="1071" spans="1:12" x14ac:dyDescent="0.25">
      <c r="A1071" s="116"/>
      <c r="B1071" s="116"/>
      <c r="C1071" s="116"/>
      <c r="D1071" s="116"/>
      <c r="E1071" s="116"/>
      <c r="F1071" s="116"/>
      <c r="G1071" s="116"/>
    </row>
    <row r="1072" spans="1:12" x14ac:dyDescent="0.25">
      <c r="A1072" s="116"/>
      <c r="B1072" s="116"/>
      <c r="C1072" s="116"/>
      <c r="D1072" s="116"/>
      <c r="E1072" s="116"/>
      <c r="F1072" s="116"/>
      <c r="G1072" s="116"/>
    </row>
    <row r="1073" spans="1:7" x14ac:dyDescent="0.25">
      <c r="A1073" s="116"/>
      <c r="B1073" s="116"/>
      <c r="C1073" s="116"/>
      <c r="D1073" s="116"/>
      <c r="E1073" s="116"/>
      <c r="F1073" s="116"/>
      <c r="G1073" s="116"/>
    </row>
    <row r="1074" spans="1:7" x14ac:dyDescent="0.25">
      <c r="A1074" s="116"/>
      <c r="B1074" s="116"/>
      <c r="C1074" s="116"/>
      <c r="D1074" s="116"/>
      <c r="E1074" s="116"/>
      <c r="F1074" s="116"/>
      <c r="G1074" s="116"/>
    </row>
    <row r="1075" spans="1:7" x14ac:dyDescent="0.25">
      <c r="A1075" s="116"/>
      <c r="B1075" s="116"/>
      <c r="C1075" s="116"/>
      <c r="D1075" s="116"/>
      <c r="E1075" s="116"/>
      <c r="F1075" s="116"/>
      <c r="G1075" s="116"/>
    </row>
    <row r="1076" spans="1:7" x14ac:dyDescent="0.25">
      <c r="A1076" s="116"/>
      <c r="B1076" s="116"/>
      <c r="C1076" s="116"/>
      <c r="D1076" s="116"/>
      <c r="E1076" s="116"/>
      <c r="F1076" s="116"/>
      <c r="G1076" s="116"/>
    </row>
    <row r="1077" spans="1:7" x14ac:dyDescent="0.25">
      <c r="A1077" s="116"/>
      <c r="B1077" s="116"/>
      <c r="C1077" s="116"/>
      <c r="D1077" s="116"/>
      <c r="E1077" s="116"/>
      <c r="F1077" s="116"/>
      <c r="G1077" s="116"/>
    </row>
    <row r="1078" spans="1:7" x14ac:dyDescent="0.25">
      <c r="A1078" s="116"/>
      <c r="B1078" s="116"/>
      <c r="C1078" s="116"/>
      <c r="D1078" s="116"/>
      <c r="E1078" s="116"/>
      <c r="F1078" s="116"/>
      <c r="G1078" s="116"/>
    </row>
    <row r="1079" spans="1:7" x14ac:dyDescent="0.25">
      <c r="A1079" s="116"/>
      <c r="B1079" s="116"/>
      <c r="C1079" s="116"/>
      <c r="D1079" s="116"/>
      <c r="E1079" s="116"/>
      <c r="F1079" s="116"/>
      <c r="G1079" s="116"/>
    </row>
    <row r="1080" spans="1:7" x14ac:dyDescent="0.25">
      <c r="A1080" s="116"/>
      <c r="B1080" s="116"/>
      <c r="C1080" s="116"/>
      <c r="D1080" s="116"/>
      <c r="E1080" s="116"/>
      <c r="F1080" s="116"/>
      <c r="G1080" s="116"/>
    </row>
    <row r="1081" spans="1:7" x14ac:dyDescent="0.25">
      <c r="A1081" s="1852" t="s">
        <v>995</v>
      </c>
      <c r="B1081" s="1852"/>
      <c r="C1081" s="1852"/>
      <c r="D1081" s="1852"/>
      <c r="E1081" s="1852"/>
      <c r="F1081" s="1852"/>
      <c r="G1081" s="1852"/>
    </row>
    <row r="1082" spans="1:7" x14ac:dyDescent="0.25">
      <c r="A1082" s="1852" t="s">
        <v>1</v>
      </c>
      <c r="B1082" s="1852"/>
      <c r="C1082" s="1852"/>
      <c r="D1082" s="1852"/>
      <c r="E1082" s="1852"/>
      <c r="F1082" s="1852"/>
      <c r="G1082" s="1852"/>
    </row>
    <row r="1083" spans="1:7" x14ac:dyDescent="0.25">
      <c r="A1083" s="1852" t="s">
        <v>1425</v>
      </c>
      <c r="B1083" s="1852"/>
      <c r="C1083" s="1852"/>
      <c r="D1083" s="1852"/>
      <c r="E1083" s="1852"/>
      <c r="F1083" s="1852"/>
      <c r="G1083" s="1852"/>
    </row>
    <row r="1084" spans="1:7" x14ac:dyDescent="0.25">
      <c r="A1084" s="1307"/>
      <c r="B1084" s="1308"/>
      <c r="C1084" s="1309"/>
      <c r="D1084" s="1309"/>
      <c r="E1084" s="1310"/>
      <c r="F1084" s="1310"/>
      <c r="G1084" s="1310"/>
    </row>
    <row r="1085" spans="1:7" x14ac:dyDescent="0.25">
      <c r="A1085" s="1310" t="s">
        <v>1483</v>
      </c>
      <c r="B1085" s="1311"/>
      <c r="C1085" s="1312"/>
      <c r="D1085" s="1312"/>
      <c r="E1085" s="1313"/>
      <c r="F1085" s="1313"/>
      <c r="G1085" s="1310"/>
    </row>
    <row r="1086" spans="1:7" x14ac:dyDescent="0.25">
      <c r="A1086" s="1314" t="s">
        <v>712</v>
      </c>
      <c r="B1086" s="1315" t="s">
        <v>1504</v>
      </c>
      <c r="C1086" s="1312"/>
      <c r="D1086" s="1312"/>
      <c r="E1086" s="1313" t="s">
        <v>1484</v>
      </c>
      <c r="F1086" s="1313"/>
      <c r="G1086" s="1310"/>
    </row>
    <row r="1087" spans="1:7" ht="60" x14ac:dyDescent="0.25">
      <c r="A1087" s="1316" t="s">
        <v>749</v>
      </c>
      <c r="B1087" s="1317" t="s">
        <v>2327</v>
      </c>
      <c r="C1087" s="1312"/>
      <c r="D1087" s="1312"/>
      <c r="E1087" s="1313" t="s">
        <v>1485</v>
      </c>
      <c r="F1087" s="1313"/>
      <c r="G1087" s="1314"/>
    </row>
    <row r="1088" spans="1:7" ht="24" x14ac:dyDescent="0.25">
      <c r="A1088" s="1316" t="s">
        <v>1486</v>
      </c>
      <c r="B1088" s="1317" t="s">
        <v>2328</v>
      </c>
      <c r="C1088" s="1312"/>
      <c r="D1088" s="1312"/>
      <c r="E1088" s="1313"/>
      <c r="F1088" s="1313"/>
      <c r="G1088" s="1314"/>
    </row>
    <row r="1089" spans="1:12" x14ac:dyDescent="0.25">
      <c r="A1089" s="1310" t="s">
        <v>1487</v>
      </c>
      <c r="B1089" s="1311" t="s">
        <v>61</v>
      </c>
      <c r="C1089" s="1312"/>
      <c r="D1089" s="1312"/>
      <c r="E1089" s="1310"/>
      <c r="F1089" s="1310"/>
      <c r="G1089" s="1310"/>
    </row>
    <row r="1090" spans="1:12" x14ac:dyDescent="0.25">
      <c r="A1090" s="1314" t="s">
        <v>62</v>
      </c>
      <c r="B1090" s="1315" t="s">
        <v>63</v>
      </c>
      <c r="C1090" s="1312"/>
      <c r="D1090" s="1312"/>
      <c r="E1090" s="1314"/>
      <c r="F1090" s="1314"/>
      <c r="G1090" s="1314"/>
    </row>
    <row r="1091" spans="1:12" x14ac:dyDescent="0.25">
      <c r="A1091" s="1318"/>
      <c r="B1091" s="1319"/>
      <c r="C1091" s="1320"/>
      <c r="D1091" s="1320"/>
      <c r="E1091" s="1318"/>
      <c r="F1091" s="1318"/>
      <c r="G1091" s="1318"/>
    </row>
    <row r="1092" spans="1:12" ht="24" x14ac:dyDescent="0.25">
      <c r="A1092" s="1321" t="s">
        <v>30</v>
      </c>
      <c r="B1092" s="1321" t="s">
        <v>11</v>
      </c>
      <c r="C1092" s="1855" t="s">
        <v>12</v>
      </c>
      <c r="D1092" s="1856"/>
      <c r="E1092" s="1323" t="s">
        <v>13</v>
      </c>
      <c r="F1092" s="1322" t="s">
        <v>14</v>
      </c>
      <c r="G1092" s="1324" t="s">
        <v>266</v>
      </c>
    </row>
    <row r="1093" spans="1:12" x14ac:dyDescent="0.25">
      <c r="A1093" s="1325">
        <v>1</v>
      </c>
      <c r="B1093" s="1326">
        <v>2</v>
      </c>
      <c r="C1093" s="1853">
        <v>3</v>
      </c>
      <c r="D1093" s="1854"/>
      <c r="E1093" s="1329">
        <v>4</v>
      </c>
      <c r="F1093" s="1327">
        <v>5</v>
      </c>
      <c r="G1093" s="1330">
        <v>7</v>
      </c>
    </row>
    <row r="1094" spans="1:12" x14ac:dyDescent="0.25">
      <c r="A1094" s="1331" t="s">
        <v>2244</v>
      </c>
      <c r="B1094" s="1332" t="s">
        <v>1505</v>
      </c>
      <c r="C1094" s="1333"/>
      <c r="D1094" s="1334"/>
      <c r="E1094" s="1335"/>
      <c r="F1094" s="1336"/>
      <c r="G1094" s="1330"/>
    </row>
    <row r="1095" spans="1:12" x14ac:dyDescent="0.25">
      <c r="A1095" s="1331" t="s">
        <v>2245</v>
      </c>
      <c r="B1095" s="1332" t="s">
        <v>2246</v>
      </c>
      <c r="C1095" s="1333"/>
      <c r="D1095" s="1334"/>
      <c r="E1095" s="1335"/>
      <c r="F1095" s="1336"/>
      <c r="G1095" s="1330"/>
    </row>
    <row r="1096" spans="1:12" ht="24" x14ac:dyDescent="0.25">
      <c r="A1096" s="1331" t="s">
        <v>2247</v>
      </c>
      <c r="B1096" s="1332" t="s">
        <v>1499</v>
      </c>
      <c r="C1096" s="1337"/>
      <c r="D1096" s="1334"/>
      <c r="E1096" s="1335"/>
      <c r="F1096" s="1336"/>
      <c r="G1096" s="1330"/>
    </row>
    <row r="1097" spans="1:12" ht="15.75" thickBot="1" x14ac:dyDescent="0.3">
      <c r="A1097" s="1338"/>
      <c r="B1097" s="1339" t="s">
        <v>2248</v>
      </c>
      <c r="C1097" s="1337">
        <v>1</v>
      </c>
      <c r="D1097" s="1334" t="s">
        <v>473</v>
      </c>
      <c r="E1097" s="1335">
        <v>36400</v>
      </c>
      <c r="F1097" s="1336">
        <f>E1097*C1097</f>
        <v>36400</v>
      </c>
      <c r="G1097" s="1330"/>
    </row>
    <row r="1098" spans="1:12" ht="15.75" thickBot="1" x14ac:dyDescent="0.3">
      <c r="A1098" s="1340"/>
      <c r="B1098" s="1845" t="s">
        <v>548</v>
      </c>
      <c r="C1098" s="1846"/>
      <c r="D1098" s="1846"/>
      <c r="E1098" s="1847"/>
      <c r="F1098" s="1341">
        <f>SUM(F1097:F1097)</f>
        <v>36400</v>
      </c>
      <c r="G1098" s="1330"/>
    </row>
    <row r="1099" spans="1:12" x14ac:dyDescent="0.25">
      <c r="A1099" s="1331" t="s">
        <v>2249</v>
      </c>
      <c r="B1099" s="1342" t="s">
        <v>1488</v>
      </c>
      <c r="C1099" s="1343"/>
      <c r="D1099" s="1344"/>
      <c r="E1099" s="1340"/>
      <c r="F1099" s="1345"/>
      <c r="G1099" s="1330"/>
    </row>
    <row r="1100" spans="1:12" x14ac:dyDescent="0.25">
      <c r="A1100" s="1363"/>
      <c r="B1100" s="1348" t="s">
        <v>1490</v>
      </c>
      <c r="C1100" s="1349">
        <v>14</v>
      </c>
      <c r="D1100" s="1350" t="s">
        <v>419</v>
      </c>
      <c r="E1100" s="1351">
        <v>130000</v>
      </c>
      <c r="F1100" s="1352">
        <f>E1100*C1100</f>
        <v>1820000</v>
      </c>
      <c r="G1100" s="1706"/>
    </row>
    <row r="1101" spans="1:12" x14ac:dyDescent="0.25">
      <c r="A1101" s="1331"/>
      <c r="B1101" s="1444"/>
      <c r="C1101" s="1325"/>
      <c r="D1101" s="1325"/>
      <c r="E1101" s="1347"/>
      <c r="F1101" s="1335"/>
      <c r="G1101" s="1330"/>
    </row>
    <row r="1102" spans="1:12" ht="15.75" thickBot="1" x14ac:dyDescent="0.3">
      <c r="A1102" s="1353"/>
      <c r="B1102" s="1861" t="s">
        <v>548</v>
      </c>
      <c r="C1102" s="1862"/>
      <c r="D1102" s="1862"/>
      <c r="E1102" s="1863"/>
      <c r="F1102" s="1707">
        <f>SUM(F1100:F1100)</f>
        <v>1820000</v>
      </c>
      <c r="G1102" s="1708"/>
    </row>
    <row r="1103" spans="1:12" ht="15.75" thickBot="1" x14ac:dyDescent="0.3">
      <c r="A1103" s="1343"/>
      <c r="B1103" s="1845" t="s">
        <v>26</v>
      </c>
      <c r="C1103" s="1846"/>
      <c r="D1103" s="1846"/>
      <c r="E1103" s="1847"/>
      <c r="F1103" s="1341"/>
      <c r="G1103" s="1354" t="s">
        <v>1845</v>
      </c>
      <c r="L1103" s="172"/>
    </row>
    <row r="1104" spans="1:12" x14ac:dyDescent="0.25">
      <c r="A1104" s="116"/>
      <c r="B1104" s="116"/>
      <c r="C1104" s="116"/>
      <c r="D1104" s="116"/>
      <c r="E1104" s="116"/>
      <c r="F1104" s="116"/>
      <c r="G1104" s="116"/>
    </row>
    <row r="1105" spans="1:7" x14ac:dyDescent="0.25">
      <c r="A1105" s="116"/>
      <c r="B1105" s="116"/>
      <c r="C1105" s="116"/>
      <c r="D1105" s="116"/>
      <c r="E1105" s="116"/>
      <c r="F1105" s="116"/>
      <c r="G1105" s="116"/>
    </row>
    <row r="1106" spans="1:7" x14ac:dyDescent="0.25">
      <c r="A1106" s="116"/>
      <c r="B1106" s="116"/>
      <c r="C1106" s="116"/>
      <c r="D1106" s="116"/>
      <c r="E1106" s="116"/>
      <c r="F1106" s="116"/>
      <c r="G1106" s="116"/>
    </row>
    <row r="1107" spans="1:7" x14ac:dyDescent="0.25">
      <c r="A1107" s="116"/>
      <c r="B1107" s="116"/>
      <c r="C1107" s="116"/>
      <c r="D1107" s="116"/>
      <c r="E1107" s="116"/>
      <c r="F1107" s="116"/>
      <c r="G1107" s="116"/>
    </row>
    <row r="1108" spans="1:7" x14ac:dyDescent="0.25">
      <c r="A1108" s="116"/>
      <c r="B1108" s="116"/>
      <c r="C1108" s="116"/>
      <c r="D1108" s="116"/>
      <c r="E1108" s="116"/>
      <c r="F1108" s="116"/>
      <c r="G1108" s="116"/>
    </row>
    <row r="1109" spans="1:7" x14ac:dyDescent="0.25">
      <c r="A1109" s="116"/>
      <c r="B1109" s="116"/>
      <c r="C1109" s="116"/>
      <c r="D1109" s="116"/>
      <c r="E1109" s="116"/>
      <c r="F1109" s="116"/>
      <c r="G1109" s="116"/>
    </row>
    <row r="1110" spans="1:7" x14ac:dyDescent="0.25">
      <c r="A1110" s="116"/>
      <c r="B1110" s="116"/>
      <c r="C1110" s="116"/>
      <c r="D1110" s="116"/>
      <c r="E1110" s="116"/>
      <c r="F1110" s="116"/>
      <c r="G1110" s="116"/>
    </row>
    <row r="1111" spans="1:7" x14ac:dyDescent="0.25">
      <c r="A1111" s="116"/>
      <c r="B1111" s="116"/>
      <c r="C1111" s="116"/>
      <c r="D1111" s="116"/>
      <c r="E1111" s="116"/>
      <c r="F1111" s="116"/>
      <c r="G1111" s="116"/>
    </row>
    <row r="1112" spans="1:7" x14ac:dyDescent="0.25">
      <c r="A1112" s="116"/>
      <c r="B1112" s="116"/>
      <c r="C1112" s="116"/>
      <c r="D1112" s="116"/>
      <c r="E1112" s="116"/>
      <c r="F1112" s="116"/>
      <c r="G1112" s="116"/>
    </row>
    <row r="1113" spans="1:7" x14ac:dyDescent="0.25">
      <c r="A1113" s="116"/>
      <c r="B1113" s="116"/>
      <c r="C1113" s="116"/>
      <c r="D1113" s="116"/>
      <c r="E1113" s="116"/>
      <c r="F1113" s="116"/>
      <c r="G1113" s="116"/>
    </row>
    <row r="1114" spans="1:7" x14ac:dyDescent="0.25">
      <c r="A1114" s="116"/>
      <c r="B1114" s="116"/>
      <c r="C1114" s="116"/>
      <c r="D1114" s="116"/>
      <c r="E1114" s="116"/>
      <c r="F1114" s="116"/>
      <c r="G1114" s="116"/>
    </row>
    <row r="1115" spans="1:7" x14ac:dyDescent="0.25">
      <c r="A1115" s="1852" t="s">
        <v>995</v>
      </c>
      <c r="B1115" s="1852"/>
      <c r="C1115" s="1852"/>
      <c r="D1115" s="1852"/>
      <c r="E1115" s="1852"/>
      <c r="F1115" s="1852"/>
      <c r="G1115" s="1852"/>
    </row>
    <row r="1116" spans="1:7" x14ac:dyDescent="0.25">
      <c r="A1116" s="1852" t="s">
        <v>1</v>
      </c>
      <c r="B1116" s="1852"/>
      <c r="C1116" s="1852"/>
      <c r="D1116" s="1852"/>
      <c r="E1116" s="1852"/>
      <c r="F1116" s="1852"/>
      <c r="G1116" s="1852"/>
    </row>
    <row r="1117" spans="1:7" x14ac:dyDescent="0.25">
      <c r="A1117" s="1852" t="s">
        <v>1425</v>
      </c>
      <c r="B1117" s="1852"/>
      <c r="C1117" s="1852"/>
      <c r="D1117" s="1852"/>
      <c r="E1117" s="1852"/>
      <c r="F1117" s="1852"/>
      <c r="G1117" s="1852"/>
    </row>
    <row r="1118" spans="1:7" x14ac:dyDescent="0.25">
      <c r="A1118" s="1307"/>
      <c r="B1118" s="1308"/>
      <c r="C1118" s="1309"/>
      <c r="D1118" s="1309"/>
      <c r="E1118" s="1310"/>
      <c r="F1118" s="1310"/>
      <c r="G1118" s="1310"/>
    </row>
    <row r="1119" spans="1:7" x14ac:dyDescent="0.25">
      <c r="A1119" s="1310" t="s">
        <v>1483</v>
      </c>
      <c r="B1119" s="1311"/>
      <c r="C1119" s="1312"/>
      <c r="D1119" s="1312"/>
      <c r="E1119" s="1313"/>
      <c r="F1119" s="1313"/>
      <c r="G1119" s="1310"/>
    </row>
    <row r="1120" spans="1:7" x14ac:dyDescent="0.25">
      <c r="A1120" s="1314" t="s">
        <v>712</v>
      </c>
      <c r="B1120" s="1315" t="s">
        <v>1504</v>
      </c>
      <c r="C1120" s="1312"/>
      <c r="D1120" s="1312"/>
      <c r="E1120" s="1313" t="s">
        <v>1484</v>
      </c>
      <c r="F1120" s="1313"/>
      <c r="G1120" s="1310"/>
    </row>
    <row r="1121" spans="1:7" ht="45" x14ac:dyDescent="0.25">
      <c r="A1121" s="1316" t="s">
        <v>749</v>
      </c>
      <c r="B1121" s="1317" t="s">
        <v>2329</v>
      </c>
      <c r="C1121" s="1312"/>
      <c r="D1121" s="1312"/>
      <c r="E1121" s="1313" t="s">
        <v>1485</v>
      </c>
      <c r="F1121" s="1313"/>
      <c r="G1121" s="1314"/>
    </row>
    <row r="1122" spans="1:7" ht="24" x14ac:dyDescent="0.25">
      <c r="A1122" s="1316" t="s">
        <v>1486</v>
      </c>
      <c r="B1122" s="1317" t="s">
        <v>2330</v>
      </c>
      <c r="C1122" s="1312"/>
      <c r="D1122" s="1312"/>
      <c r="E1122" s="1313"/>
      <c r="F1122" s="1313"/>
      <c r="G1122" s="1314"/>
    </row>
    <row r="1123" spans="1:7" x14ac:dyDescent="0.25">
      <c r="A1123" s="1310" t="s">
        <v>1487</v>
      </c>
      <c r="B1123" s="1311" t="s">
        <v>61</v>
      </c>
      <c r="C1123" s="1312"/>
      <c r="D1123" s="1312"/>
      <c r="E1123" s="1310"/>
      <c r="F1123" s="1310"/>
      <c r="G1123" s="1310"/>
    </row>
    <row r="1124" spans="1:7" x14ac:dyDescent="0.25">
      <c r="A1124" s="1314" t="s">
        <v>62</v>
      </c>
      <c r="B1124" s="1315" t="s">
        <v>63</v>
      </c>
      <c r="C1124" s="1312"/>
      <c r="D1124" s="1312"/>
      <c r="E1124" s="1314"/>
      <c r="F1124" s="1314"/>
      <c r="G1124" s="1314"/>
    </row>
    <row r="1125" spans="1:7" x14ac:dyDescent="0.25">
      <c r="A1125" s="1318"/>
      <c r="B1125" s="1319"/>
      <c r="C1125" s="1320"/>
      <c r="D1125" s="1320"/>
      <c r="E1125" s="1318"/>
      <c r="F1125" s="1318"/>
      <c r="G1125" s="1318"/>
    </row>
    <row r="1126" spans="1:7" ht="24" x14ac:dyDescent="0.25">
      <c r="A1126" s="1321" t="s">
        <v>30</v>
      </c>
      <c r="B1126" s="1321" t="s">
        <v>11</v>
      </c>
      <c r="C1126" s="1855" t="s">
        <v>12</v>
      </c>
      <c r="D1126" s="1856"/>
      <c r="E1126" s="1323" t="s">
        <v>13</v>
      </c>
      <c r="F1126" s="1322" t="s">
        <v>14</v>
      </c>
      <c r="G1126" s="1324" t="s">
        <v>266</v>
      </c>
    </row>
    <row r="1127" spans="1:7" x14ac:dyDescent="0.25">
      <c r="A1127" s="1325">
        <v>1</v>
      </c>
      <c r="B1127" s="1326">
        <v>2</v>
      </c>
      <c r="C1127" s="1853">
        <v>3</v>
      </c>
      <c r="D1127" s="1854"/>
      <c r="E1127" s="1329">
        <v>4</v>
      </c>
      <c r="F1127" s="1327">
        <v>5</v>
      </c>
      <c r="G1127" s="1330">
        <v>7</v>
      </c>
    </row>
    <row r="1128" spans="1:7" x14ac:dyDescent="0.25">
      <c r="A1128" s="1427" t="s">
        <v>2714</v>
      </c>
      <c r="B1128" s="1536" t="s">
        <v>287</v>
      </c>
      <c r="C1128" s="1327"/>
      <c r="D1128" s="1328"/>
      <c r="E1128" s="1329"/>
      <c r="F1128" s="1327"/>
      <c r="G1128" s="1330"/>
    </row>
    <row r="1129" spans="1:7" ht="24" x14ac:dyDescent="0.25">
      <c r="A1129" s="1331" t="s">
        <v>2715</v>
      </c>
      <c r="B1129" s="1332" t="s">
        <v>485</v>
      </c>
      <c r="C1129" s="1333"/>
      <c r="D1129" s="1334"/>
      <c r="E1129" s="1335"/>
      <c r="F1129" s="1336"/>
      <c r="G1129" s="1330"/>
    </row>
    <row r="1130" spans="1:7" ht="24" x14ac:dyDescent="0.25">
      <c r="A1130" s="1331" t="s">
        <v>2716</v>
      </c>
      <c r="B1130" s="1332" t="s">
        <v>2713</v>
      </c>
      <c r="C1130" s="1333"/>
      <c r="D1130" s="1334"/>
      <c r="E1130" s="1335"/>
      <c r="F1130" s="1336"/>
      <c r="G1130" s="1330"/>
    </row>
    <row r="1131" spans="1:7" ht="24" x14ac:dyDescent="0.25">
      <c r="A1131" s="1331"/>
      <c r="B1131" s="1332" t="s">
        <v>1499</v>
      </c>
      <c r="C1131" s="1337"/>
      <c r="D1131" s="1334"/>
      <c r="E1131" s="1335"/>
      <c r="F1131" s="1336"/>
      <c r="G1131" s="1330"/>
    </row>
    <row r="1132" spans="1:7" ht="15.75" thickBot="1" x14ac:dyDescent="0.3">
      <c r="A1132" s="1338"/>
      <c r="B1132" s="1339" t="s">
        <v>2248</v>
      </c>
      <c r="C1132" s="1337">
        <v>1</v>
      </c>
      <c r="D1132" s="1334" t="s">
        <v>473</v>
      </c>
      <c r="E1132" s="1335">
        <v>390000</v>
      </c>
      <c r="F1132" s="1336">
        <f>E1132*C1132</f>
        <v>390000</v>
      </c>
      <c r="G1132" s="1330"/>
    </row>
    <row r="1133" spans="1:7" ht="15.75" thickBot="1" x14ac:dyDescent="0.3">
      <c r="A1133" s="1340"/>
      <c r="B1133" s="1845" t="s">
        <v>548</v>
      </c>
      <c r="C1133" s="1846"/>
      <c r="D1133" s="1846"/>
      <c r="E1133" s="1847"/>
      <c r="F1133" s="1341">
        <f>SUM(F1132:F1132)</f>
        <v>390000</v>
      </c>
      <c r="G1133" s="1330"/>
    </row>
    <row r="1134" spans="1:7" x14ac:dyDescent="0.25">
      <c r="A1134" s="1331"/>
      <c r="B1134" s="1355" t="s">
        <v>1491</v>
      </c>
      <c r="C1134" s="1343"/>
      <c r="D1134" s="1344"/>
      <c r="E1134" s="1340"/>
      <c r="F1134" s="1345"/>
      <c r="G1134" s="1330"/>
    </row>
    <row r="1135" spans="1:7" ht="16.5" x14ac:dyDescent="0.25">
      <c r="A1135" s="1358"/>
      <c r="B1135" s="1735" t="s">
        <v>2252</v>
      </c>
      <c r="C1135" s="1343">
        <v>11.1</v>
      </c>
      <c r="D1135" s="1344" t="s">
        <v>843</v>
      </c>
      <c r="E1135" s="1365">
        <v>405000</v>
      </c>
      <c r="F1135" s="1345">
        <f>E1135*C1135</f>
        <v>4495500</v>
      </c>
      <c r="G1135" s="1330"/>
    </row>
    <row r="1136" spans="1:7" ht="16.5" x14ac:dyDescent="0.25">
      <c r="A1136" s="1358"/>
      <c r="B1136" s="1735" t="s">
        <v>2253</v>
      </c>
      <c r="C1136" s="1343">
        <v>1859</v>
      </c>
      <c r="D1136" s="1344" t="s">
        <v>159</v>
      </c>
      <c r="E1136" s="1365">
        <v>3000</v>
      </c>
      <c r="F1136" s="1345">
        <f>E1136*C1136</f>
        <v>5577000</v>
      </c>
      <c r="G1136" s="1330"/>
    </row>
    <row r="1137" spans="1:12" ht="16.5" x14ac:dyDescent="0.25">
      <c r="A1137" s="1358"/>
      <c r="B1137" s="1735" t="s">
        <v>1492</v>
      </c>
      <c r="C1137" s="1343">
        <v>4.5</v>
      </c>
      <c r="D1137" s="1344" t="s">
        <v>843</v>
      </c>
      <c r="E1137" s="1365">
        <v>400000</v>
      </c>
      <c r="F1137" s="1345">
        <f>E1137*C1137</f>
        <v>1800000</v>
      </c>
      <c r="G1137" s="1330"/>
    </row>
    <row r="1138" spans="1:12" ht="16.5" x14ac:dyDescent="0.25">
      <c r="A1138" s="1358"/>
      <c r="B1138" s="1735" t="s">
        <v>2254</v>
      </c>
      <c r="C1138" s="1325">
        <v>1</v>
      </c>
      <c r="D1138" s="1325" t="s">
        <v>110</v>
      </c>
      <c r="E1138" s="1347">
        <v>250000</v>
      </c>
      <c r="F1138" s="1345">
        <f>E1138*C1138</f>
        <v>250000</v>
      </c>
      <c r="G1138" s="1330"/>
    </row>
    <row r="1139" spans="1:12" ht="16.5" x14ac:dyDescent="0.25">
      <c r="A1139" s="1358"/>
      <c r="B1139" s="1735" t="s">
        <v>1497</v>
      </c>
      <c r="C1139" s="1325">
        <v>1</v>
      </c>
      <c r="D1139" s="1325" t="s">
        <v>110</v>
      </c>
      <c r="E1139" s="1347">
        <v>500000</v>
      </c>
      <c r="F1139" s="1345">
        <f>E1139*C1139</f>
        <v>500000</v>
      </c>
      <c r="G1139" s="1330"/>
    </row>
    <row r="1140" spans="1:12" ht="15.75" thickBot="1" x14ac:dyDescent="0.3">
      <c r="A1140" s="1338"/>
      <c r="B1140" s="1359"/>
      <c r="C1140" s="1360"/>
      <c r="D1140" s="1361"/>
      <c r="E1140" s="1362"/>
      <c r="F1140" s="1352"/>
      <c r="G1140" s="1330"/>
    </row>
    <row r="1141" spans="1:12" x14ac:dyDescent="0.25">
      <c r="A1141" s="1343"/>
      <c r="B1141" s="1845" t="s">
        <v>548</v>
      </c>
      <c r="C1141" s="1846"/>
      <c r="D1141" s="1846"/>
      <c r="E1141" s="1847"/>
      <c r="F1141" s="1341">
        <f>SUM(F1135:F1139)</f>
        <v>12622500</v>
      </c>
      <c r="G1141" s="1354"/>
    </row>
    <row r="1142" spans="1:12" ht="15.75" thickBot="1" x14ac:dyDescent="0.3">
      <c r="A1142" s="1343"/>
      <c r="B1142" s="1845" t="s">
        <v>26</v>
      </c>
      <c r="C1142" s="1846"/>
      <c r="D1142" s="1846"/>
      <c r="E1142" s="1847"/>
      <c r="F1142" s="1341"/>
      <c r="G1142" s="1354" t="s">
        <v>1845</v>
      </c>
      <c r="L1142" s="172"/>
    </row>
    <row r="1143" spans="1:12" x14ac:dyDescent="0.25">
      <c r="A1143" s="116"/>
      <c r="B1143" s="116"/>
      <c r="C1143" s="116"/>
      <c r="D1143" s="116"/>
      <c r="E1143" s="116"/>
      <c r="F1143" s="116"/>
      <c r="G1143" s="116"/>
    </row>
    <row r="1144" spans="1:12" x14ac:dyDescent="0.25">
      <c r="A1144" s="116"/>
      <c r="B1144" s="116"/>
      <c r="C1144" s="116"/>
      <c r="D1144" s="116"/>
      <c r="E1144" s="116"/>
      <c r="F1144" s="1704"/>
      <c r="G1144" s="116"/>
    </row>
    <row r="1145" spans="1:12" x14ac:dyDescent="0.25">
      <c r="A1145" s="116"/>
      <c r="B1145" s="116"/>
      <c r="C1145" s="116"/>
      <c r="D1145" s="116"/>
      <c r="E1145" s="116"/>
      <c r="F1145" s="1704"/>
      <c r="G1145" s="116"/>
    </row>
    <row r="1146" spans="1:12" x14ac:dyDescent="0.25">
      <c r="A1146" s="116"/>
      <c r="B1146" s="116"/>
      <c r="C1146" s="116"/>
      <c r="D1146" s="116"/>
      <c r="E1146" s="116"/>
      <c r="F1146" s="116"/>
      <c r="G1146" s="116"/>
    </row>
    <row r="1147" spans="1:12" x14ac:dyDescent="0.25">
      <c r="A1147" s="1852" t="s">
        <v>995</v>
      </c>
      <c r="B1147" s="1852"/>
      <c r="C1147" s="1852"/>
      <c r="D1147" s="1852"/>
      <c r="E1147" s="1852"/>
      <c r="F1147" s="1852"/>
      <c r="G1147" s="1852"/>
    </row>
    <row r="1148" spans="1:12" x14ac:dyDescent="0.25">
      <c r="A1148" s="1852" t="s">
        <v>1</v>
      </c>
      <c r="B1148" s="1852"/>
      <c r="C1148" s="1852"/>
      <c r="D1148" s="1852"/>
      <c r="E1148" s="1852"/>
      <c r="F1148" s="1852"/>
      <c r="G1148" s="1852"/>
    </row>
    <row r="1149" spans="1:12" x14ac:dyDescent="0.25">
      <c r="A1149" s="1852" t="s">
        <v>1425</v>
      </c>
      <c r="B1149" s="1852"/>
      <c r="C1149" s="1852"/>
      <c r="D1149" s="1852"/>
      <c r="E1149" s="1852"/>
      <c r="F1149" s="1852"/>
      <c r="G1149" s="1852"/>
    </row>
    <row r="1150" spans="1:12" x14ac:dyDescent="0.25">
      <c r="A1150" s="1307"/>
      <c r="B1150" s="1308"/>
      <c r="C1150" s="1309"/>
      <c r="D1150" s="1309"/>
      <c r="E1150" s="1310"/>
      <c r="F1150" s="1310"/>
      <c r="G1150" s="1310"/>
    </row>
    <row r="1151" spans="1:12" x14ac:dyDescent="0.25">
      <c r="A1151" s="1310" t="s">
        <v>1483</v>
      </c>
      <c r="B1151" s="1311"/>
      <c r="C1151" s="1312"/>
      <c r="D1151" s="1312"/>
      <c r="E1151" s="1313"/>
      <c r="F1151" s="1313"/>
      <c r="G1151" s="1310"/>
    </row>
    <row r="1152" spans="1:12" x14ac:dyDescent="0.25">
      <c r="A1152" s="1314" t="s">
        <v>712</v>
      </c>
      <c r="B1152" s="1315" t="s">
        <v>1504</v>
      </c>
      <c r="C1152" s="1312"/>
      <c r="D1152" s="1312"/>
      <c r="E1152" s="1313" t="s">
        <v>1484</v>
      </c>
      <c r="F1152" s="1313"/>
      <c r="G1152" s="1310"/>
    </row>
    <row r="1153" spans="1:12" ht="60" x14ac:dyDescent="0.25">
      <c r="A1153" s="1316" t="s">
        <v>749</v>
      </c>
      <c r="B1153" s="1317" t="s">
        <v>2331</v>
      </c>
      <c r="C1153" s="1312"/>
      <c r="D1153" s="1312"/>
      <c r="E1153" s="1313" t="s">
        <v>1485</v>
      </c>
      <c r="F1153" s="1313"/>
      <c r="G1153" s="1314"/>
    </row>
    <row r="1154" spans="1:12" ht="24" x14ac:dyDescent="0.25">
      <c r="A1154" s="1316" t="s">
        <v>1486</v>
      </c>
      <c r="B1154" s="1317" t="s">
        <v>2332</v>
      </c>
      <c r="C1154" s="1312"/>
      <c r="D1154" s="1312"/>
      <c r="E1154" s="1313"/>
      <c r="F1154" s="1313"/>
      <c r="G1154" s="1314"/>
    </row>
    <row r="1155" spans="1:12" x14ac:dyDescent="0.25">
      <c r="A1155" s="1310" t="s">
        <v>1487</v>
      </c>
      <c r="B1155" s="1311" t="s">
        <v>61</v>
      </c>
      <c r="C1155" s="1312"/>
      <c r="D1155" s="1312"/>
      <c r="E1155" s="1310"/>
      <c r="F1155" s="1310"/>
      <c r="G1155" s="1310"/>
    </row>
    <row r="1156" spans="1:12" x14ac:dyDescent="0.25">
      <c r="A1156" s="1314" t="s">
        <v>62</v>
      </c>
      <c r="B1156" s="1315" t="s">
        <v>63</v>
      </c>
      <c r="C1156" s="1312"/>
      <c r="D1156" s="1312"/>
      <c r="E1156" s="1314"/>
      <c r="F1156" s="1314"/>
      <c r="G1156" s="1314"/>
    </row>
    <row r="1157" spans="1:12" x14ac:dyDescent="0.25">
      <c r="A1157" s="1318"/>
      <c r="B1157" s="1319"/>
      <c r="C1157" s="1320"/>
      <c r="D1157" s="1320"/>
      <c r="E1157" s="1318"/>
      <c r="F1157" s="1318"/>
      <c r="G1157" s="1318"/>
    </row>
    <row r="1158" spans="1:12" ht="24" x14ac:dyDescent="0.25">
      <c r="A1158" s="1321" t="s">
        <v>30</v>
      </c>
      <c r="B1158" s="1321" t="s">
        <v>11</v>
      </c>
      <c r="C1158" s="1855" t="s">
        <v>12</v>
      </c>
      <c r="D1158" s="1856"/>
      <c r="E1158" s="1323" t="s">
        <v>13</v>
      </c>
      <c r="F1158" s="1322" t="s">
        <v>14</v>
      </c>
      <c r="G1158" s="1324" t="s">
        <v>266</v>
      </c>
    </row>
    <row r="1159" spans="1:12" x14ac:dyDescent="0.25">
      <c r="A1159" s="1325">
        <v>1</v>
      </c>
      <c r="B1159" s="1326">
        <v>2</v>
      </c>
      <c r="C1159" s="1853">
        <v>3</v>
      </c>
      <c r="D1159" s="1854"/>
      <c r="E1159" s="1329">
        <v>4</v>
      </c>
      <c r="F1159" s="1327">
        <v>5</v>
      </c>
      <c r="G1159" s="1330">
        <v>7</v>
      </c>
    </row>
    <row r="1160" spans="1:12" x14ac:dyDescent="0.25">
      <c r="A1160" s="1427" t="s">
        <v>2714</v>
      </c>
      <c r="B1160" s="1536" t="s">
        <v>287</v>
      </c>
      <c r="C1160" s="1327"/>
      <c r="D1160" s="1328"/>
      <c r="E1160" s="1329"/>
      <c r="F1160" s="1327"/>
      <c r="G1160" s="1330"/>
    </row>
    <row r="1161" spans="1:12" ht="24" x14ac:dyDescent="0.25">
      <c r="A1161" s="1331" t="s">
        <v>2715</v>
      </c>
      <c r="B1161" s="1332" t="s">
        <v>485</v>
      </c>
      <c r="C1161" s="1333"/>
      <c r="D1161" s="1334"/>
      <c r="E1161" s="1335"/>
      <c r="F1161" s="1336"/>
      <c r="G1161" s="1330"/>
    </row>
    <row r="1162" spans="1:12" ht="24" x14ac:dyDescent="0.25">
      <c r="A1162" s="1331" t="s">
        <v>2716</v>
      </c>
      <c r="B1162" s="1332" t="s">
        <v>2713</v>
      </c>
      <c r="C1162" s="1333"/>
      <c r="D1162" s="1334"/>
      <c r="E1162" s="1335"/>
      <c r="F1162" s="1336"/>
      <c r="G1162" s="1330"/>
    </row>
    <row r="1163" spans="1:12" x14ac:dyDescent="0.25">
      <c r="A1163" s="1338"/>
      <c r="B1163" s="1339" t="s">
        <v>2248</v>
      </c>
      <c r="C1163" s="1337">
        <v>1</v>
      </c>
      <c r="D1163" s="1334" t="s">
        <v>473</v>
      </c>
      <c r="E1163" s="1335">
        <v>45080</v>
      </c>
      <c r="F1163" s="1336">
        <f>E1163*C1163</f>
        <v>45080</v>
      </c>
      <c r="G1163" s="1330"/>
    </row>
    <row r="1164" spans="1:12" x14ac:dyDescent="0.25">
      <c r="A1164" s="1331"/>
      <c r="B1164" s="1355" t="s">
        <v>1491</v>
      </c>
      <c r="C1164" s="1343"/>
      <c r="D1164" s="1344"/>
      <c r="E1164" s="1340"/>
      <c r="F1164" s="1345"/>
      <c r="G1164" s="1330"/>
    </row>
    <row r="1165" spans="1:12" ht="17.25" thickBot="1" x14ac:dyDescent="0.3">
      <c r="A1165" s="1358"/>
      <c r="B1165" s="1735" t="s">
        <v>2318</v>
      </c>
      <c r="C1165" s="1343">
        <v>4</v>
      </c>
      <c r="D1165" s="1344" t="s">
        <v>843</v>
      </c>
      <c r="E1165" s="1365">
        <v>150000</v>
      </c>
      <c r="F1165" s="1345">
        <f>E1165*C1165</f>
        <v>600000</v>
      </c>
      <c r="G1165" s="1330"/>
    </row>
    <row r="1166" spans="1:12" ht="15.75" thickBot="1" x14ac:dyDescent="0.3">
      <c r="A1166" s="1340"/>
      <c r="B1166" s="1858" t="s">
        <v>548</v>
      </c>
      <c r="C1166" s="1859"/>
      <c r="D1166" s="1859"/>
      <c r="E1166" s="1860"/>
      <c r="F1166" s="1736">
        <f>SUM(F1165:F1165)</f>
        <v>600000</v>
      </c>
      <c r="G1166" s="1330"/>
    </row>
    <row r="1167" spans="1:12" ht="15.75" thickBot="1" x14ac:dyDescent="0.3">
      <c r="A1167" s="1343"/>
      <c r="B1167" s="1845" t="s">
        <v>26</v>
      </c>
      <c r="C1167" s="1846"/>
      <c r="D1167" s="1846"/>
      <c r="E1167" s="1847"/>
      <c r="F1167" s="1341"/>
      <c r="G1167" s="1354" t="s">
        <v>1845</v>
      </c>
      <c r="L1167" s="172"/>
    </row>
    <row r="1168" spans="1:12" x14ac:dyDescent="0.25">
      <c r="A1168" s="116"/>
      <c r="B1168" s="116"/>
      <c r="C1168" s="116"/>
      <c r="D1168" s="116"/>
      <c r="E1168" s="116"/>
      <c r="F1168" s="116"/>
      <c r="G1168" s="116"/>
    </row>
    <row r="1169" spans="1:7" x14ac:dyDescent="0.25">
      <c r="A1169" s="116"/>
      <c r="B1169" s="116"/>
      <c r="C1169" s="116"/>
      <c r="D1169" s="116"/>
      <c r="E1169" s="116"/>
      <c r="F1169" s="116"/>
      <c r="G1169" s="116"/>
    </row>
    <row r="1170" spans="1:7" x14ac:dyDescent="0.25">
      <c r="A1170" s="116"/>
      <c r="B1170" s="116"/>
      <c r="C1170" s="116"/>
      <c r="D1170" s="116"/>
      <c r="E1170" s="116"/>
      <c r="F1170" s="116"/>
      <c r="G1170" s="116"/>
    </row>
    <row r="1171" spans="1:7" x14ac:dyDescent="0.25">
      <c r="A1171" s="116"/>
      <c r="B1171" s="116"/>
      <c r="C1171" s="116"/>
      <c r="D1171" s="116"/>
      <c r="E1171" s="116"/>
      <c r="F1171" s="116"/>
      <c r="G1171" s="116"/>
    </row>
    <row r="1172" spans="1:7" x14ac:dyDescent="0.25">
      <c r="A1172" s="1852" t="s">
        <v>995</v>
      </c>
      <c r="B1172" s="1852"/>
      <c r="C1172" s="1852"/>
      <c r="D1172" s="1852"/>
      <c r="E1172" s="1852"/>
      <c r="F1172" s="1852"/>
      <c r="G1172" s="1852"/>
    </row>
    <row r="1173" spans="1:7" x14ac:dyDescent="0.25">
      <c r="A1173" s="1852" t="s">
        <v>1</v>
      </c>
      <c r="B1173" s="1852"/>
      <c r="C1173" s="1852"/>
      <c r="D1173" s="1852"/>
      <c r="E1173" s="1852"/>
      <c r="F1173" s="1852"/>
      <c r="G1173" s="1852"/>
    </row>
    <row r="1174" spans="1:7" x14ac:dyDescent="0.25">
      <c r="A1174" s="1852" t="s">
        <v>1425</v>
      </c>
      <c r="B1174" s="1852"/>
      <c r="C1174" s="1852"/>
      <c r="D1174" s="1852"/>
      <c r="E1174" s="1852"/>
      <c r="F1174" s="1852"/>
      <c r="G1174" s="1852"/>
    </row>
    <row r="1175" spans="1:7" x14ac:dyDescent="0.25">
      <c r="A1175" s="1307"/>
      <c r="B1175" s="1308"/>
      <c r="C1175" s="1309"/>
      <c r="D1175" s="1309"/>
      <c r="E1175" s="1310"/>
      <c r="F1175" s="1310"/>
      <c r="G1175" s="1310"/>
    </row>
    <row r="1176" spans="1:7" x14ac:dyDescent="0.25">
      <c r="A1176" s="1310" t="s">
        <v>1483</v>
      </c>
      <c r="B1176" s="1311"/>
      <c r="C1176" s="1312"/>
      <c r="D1176" s="1312"/>
      <c r="E1176" s="1313"/>
      <c r="F1176" s="1313"/>
      <c r="G1176" s="1310"/>
    </row>
    <row r="1177" spans="1:7" x14ac:dyDescent="0.25">
      <c r="A1177" s="1314" t="s">
        <v>712</v>
      </c>
      <c r="B1177" s="1315" t="s">
        <v>1504</v>
      </c>
      <c r="C1177" s="1312"/>
      <c r="D1177" s="1312"/>
      <c r="E1177" s="1313" t="s">
        <v>1484</v>
      </c>
      <c r="F1177" s="1313"/>
      <c r="G1177" s="1310"/>
    </row>
    <row r="1178" spans="1:7" ht="60" x14ac:dyDescent="0.25">
      <c r="A1178" s="1316" t="s">
        <v>749</v>
      </c>
      <c r="B1178" s="1317" t="s">
        <v>2333</v>
      </c>
      <c r="C1178" s="1312"/>
      <c r="D1178" s="1312"/>
      <c r="E1178" s="1313" t="s">
        <v>1485</v>
      </c>
      <c r="F1178" s="1313"/>
      <c r="G1178" s="1314"/>
    </row>
    <row r="1179" spans="1:7" ht="24" x14ac:dyDescent="0.25">
      <c r="A1179" s="1316" t="s">
        <v>1486</v>
      </c>
      <c r="B1179" s="1317" t="s">
        <v>2334</v>
      </c>
      <c r="C1179" s="1312"/>
      <c r="D1179" s="1312"/>
      <c r="E1179" s="1313"/>
      <c r="F1179" s="1313"/>
      <c r="G1179" s="1314"/>
    </row>
    <row r="1180" spans="1:7" x14ac:dyDescent="0.25">
      <c r="A1180" s="1310" t="s">
        <v>1487</v>
      </c>
      <c r="B1180" s="1311" t="s">
        <v>61</v>
      </c>
      <c r="C1180" s="1312"/>
      <c r="D1180" s="1312"/>
      <c r="E1180" s="1310"/>
      <c r="F1180" s="1310"/>
      <c r="G1180" s="1310"/>
    </row>
    <row r="1181" spans="1:7" x14ac:dyDescent="0.25">
      <c r="A1181" s="1314" t="s">
        <v>62</v>
      </c>
      <c r="B1181" s="1315" t="s">
        <v>63</v>
      </c>
      <c r="C1181" s="1312"/>
      <c r="D1181" s="1312"/>
      <c r="E1181" s="1314"/>
      <c r="F1181" s="1314"/>
      <c r="G1181" s="1314"/>
    </row>
    <row r="1182" spans="1:7" x14ac:dyDescent="0.25">
      <c r="A1182" s="1318"/>
      <c r="B1182" s="1319"/>
      <c r="C1182" s="1320"/>
      <c r="D1182" s="1320"/>
      <c r="E1182" s="1318"/>
      <c r="F1182" s="1318"/>
      <c r="G1182" s="1318"/>
    </row>
    <row r="1183" spans="1:7" ht="24" x14ac:dyDescent="0.25">
      <c r="A1183" s="1321" t="s">
        <v>30</v>
      </c>
      <c r="B1183" s="1321" t="s">
        <v>11</v>
      </c>
      <c r="C1183" s="1855" t="s">
        <v>12</v>
      </c>
      <c r="D1183" s="1856"/>
      <c r="E1183" s="1323" t="s">
        <v>13</v>
      </c>
      <c r="F1183" s="1322" t="s">
        <v>14</v>
      </c>
      <c r="G1183" s="1324" t="s">
        <v>266</v>
      </c>
    </row>
    <row r="1184" spans="1:7" x14ac:dyDescent="0.25">
      <c r="A1184" s="1325">
        <v>1</v>
      </c>
      <c r="B1184" s="1326">
        <v>2</v>
      </c>
      <c r="C1184" s="1853">
        <v>3</v>
      </c>
      <c r="D1184" s="1854"/>
      <c r="E1184" s="1329">
        <v>4</v>
      </c>
      <c r="F1184" s="1327">
        <v>5</v>
      </c>
      <c r="G1184" s="1330">
        <v>7</v>
      </c>
    </row>
    <row r="1185" spans="1:12" x14ac:dyDescent="0.25">
      <c r="A1185" s="1427" t="s">
        <v>2714</v>
      </c>
      <c r="B1185" s="1536" t="s">
        <v>287</v>
      </c>
      <c r="C1185" s="1327"/>
      <c r="D1185" s="1328"/>
      <c r="E1185" s="1329"/>
      <c r="F1185" s="1327"/>
      <c r="G1185" s="1330"/>
    </row>
    <row r="1186" spans="1:12" ht="24" x14ac:dyDescent="0.25">
      <c r="A1186" s="1331" t="s">
        <v>2715</v>
      </c>
      <c r="B1186" s="1332" t="s">
        <v>485</v>
      </c>
      <c r="C1186" s="1333"/>
      <c r="D1186" s="1334"/>
      <c r="E1186" s="1335"/>
      <c r="F1186" s="1336"/>
      <c r="G1186" s="1330"/>
    </row>
    <row r="1187" spans="1:12" ht="24" x14ac:dyDescent="0.25">
      <c r="A1187" s="1331" t="s">
        <v>2716</v>
      </c>
      <c r="B1187" s="1332" t="s">
        <v>2713</v>
      </c>
      <c r="C1187" s="1333"/>
      <c r="D1187" s="1334"/>
      <c r="E1187" s="1335"/>
      <c r="F1187" s="1336"/>
      <c r="G1187" s="1330"/>
    </row>
    <row r="1188" spans="1:12" ht="15.75" thickBot="1" x14ac:dyDescent="0.3">
      <c r="A1188" s="1338"/>
      <c r="B1188" s="1339" t="s">
        <v>2248</v>
      </c>
      <c r="C1188" s="1337">
        <v>1</v>
      </c>
      <c r="D1188" s="1334" t="s">
        <v>473</v>
      </c>
      <c r="E1188" s="1335">
        <v>242890</v>
      </c>
      <c r="F1188" s="1336">
        <f>E1188*C1188</f>
        <v>242890</v>
      </c>
      <c r="G1188" s="1330"/>
    </row>
    <row r="1189" spans="1:12" ht="15.75" thickBot="1" x14ac:dyDescent="0.3">
      <c r="A1189" s="1340"/>
      <c r="B1189" s="1845" t="s">
        <v>548</v>
      </c>
      <c r="C1189" s="1846"/>
      <c r="D1189" s="1846"/>
      <c r="E1189" s="1847"/>
      <c r="F1189" s="1341">
        <f>SUM(F1188:F1188)</f>
        <v>242890</v>
      </c>
      <c r="G1189" s="1330"/>
    </row>
    <row r="1190" spans="1:12" x14ac:dyDescent="0.25">
      <c r="A1190" s="1331"/>
      <c r="B1190" s="1355" t="s">
        <v>1491</v>
      </c>
      <c r="C1190" s="1343"/>
      <c r="D1190" s="1344"/>
      <c r="E1190" s="1340"/>
      <c r="F1190" s="1345"/>
      <c r="G1190" s="1330"/>
    </row>
    <row r="1191" spans="1:12" ht="16.5" x14ac:dyDescent="0.25">
      <c r="A1191" s="1358"/>
      <c r="B1191" s="1364" t="s">
        <v>2270</v>
      </c>
      <c r="C1191" s="1343">
        <v>1</v>
      </c>
      <c r="D1191" s="1737" t="s">
        <v>843</v>
      </c>
      <c r="E1191" s="1365">
        <v>2350000</v>
      </c>
      <c r="F1191" s="1345">
        <f>E1191*C1191</f>
        <v>2350000</v>
      </c>
      <c r="G1191" s="1330"/>
    </row>
    <row r="1192" spans="1:12" ht="16.5" x14ac:dyDescent="0.25">
      <c r="A1192" s="1358"/>
      <c r="B1192" s="1366" t="s">
        <v>2283</v>
      </c>
      <c r="C1192" s="1343">
        <v>1</v>
      </c>
      <c r="D1192" s="1737" t="s">
        <v>1494</v>
      </c>
      <c r="E1192" s="1365">
        <v>35000</v>
      </c>
      <c r="F1192" s="1345">
        <f t="shared" ref="F1192:F1197" si="12">E1192*C1192</f>
        <v>35000</v>
      </c>
      <c r="G1192" s="1330"/>
    </row>
    <row r="1193" spans="1:12" ht="16.5" x14ac:dyDescent="0.25">
      <c r="A1193" s="1358"/>
      <c r="B1193" s="1364" t="s">
        <v>2284</v>
      </c>
      <c r="C1193" s="1343">
        <v>166</v>
      </c>
      <c r="D1193" s="1737" t="s">
        <v>1494</v>
      </c>
      <c r="E1193" s="1365">
        <v>13700</v>
      </c>
      <c r="F1193" s="1345">
        <f t="shared" si="12"/>
        <v>2274200</v>
      </c>
      <c r="G1193" s="1330"/>
    </row>
    <row r="1194" spans="1:12" ht="16.5" x14ac:dyDescent="0.25">
      <c r="A1194" s="1358"/>
      <c r="B1194" s="1366" t="s">
        <v>2277</v>
      </c>
      <c r="C1194" s="1325">
        <v>2.5</v>
      </c>
      <c r="D1194" s="1737" t="s">
        <v>1494</v>
      </c>
      <c r="E1194" s="1365">
        <v>35000</v>
      </c>
      <c r="F1194" s="1345">
        <f t="shared" si="12"/>
        <v>87500</v>
      </c>
      <c r="G1194" s="1330"/>
    </row>
    <row r="1195" spans="1:12" ht="16.5" x14ac:dyDescent="0.25">
      <c r="A1195" s="1358"/>
      <c r="B1195" s="1364" t="s">
        <v>2253</v>
      </c>
      <c r="C1195" s="1325">
        <v>253</v>
      </c>
      <c r="D1195" s="1737" t="s">
        <v>1494</v>
      </c>
      <c r="E1195" s="1347">
        <v>3000</v>
      </c>
      <c r="F1195" s="1345">
        <f t="shared" si="12"/>
        <v>759000</v>
      </c>
      <c r="G1195" s="1330"/>
    </row>
    <row r="1196" spans="1:12" ht="16.5" x14ac:dyDescent="0.25">
      <c r="A1196" s="1358"/>
      <c r="B1196" s="1366" t="s">
        <v>2266</v>
      </c>
      <c r="C1196" s="1349">
        <v>1</v>
      </c>
      <c r="D1196" s="1737" t="s">
        <v>843</v>
      </c>
      <c r="E1196" s="1365">
        <v>325000</v>
      </c>
      <c r="F1196" s="1345">
        <f t="shared" si="12"/>
        <v>325000</v>
      </c>
      <c r="G1196" s="1330"/>
    </row>
    <row r="1197" spans="1:12" ht="16.5" x14ac:dyDescent="0.25">
      <c r="A1197" s="1358"/>
      <c r="B1197" s="1364" t="s">
        <v>2267</v>
      </c>
      <c r="C1197" s="1349">
        <v>1</v>
      </c>
      <c r="D1197" s="1737" t="s">
        <v>843</v>
      </c>
      <c r="E1197" s="1365">
        <v>350000</v>
      </c>
      <c r="F1197" s="1345">
        <f t="shared" si="12"/>
        <v>350000</v>
      </c>
      <c r="G1197" s="1330"/>
    </row>
    <row r="1198" spans="1:12" ht="15.75" thickBot="1" x14ac:dyDescent="0.3">
      <c r="A1198" s="1338"/>
      <c r="B1198" s="1359"/>
      <c r="C1198" s="1360"/>
      <c r="D1198" s="1361"/>
      <c r="E1198" s="1362"/>
      <c r="F1198" s="1352"/>
      <c r="G1198" s="1330"/>
    </row>
    <row r="1199" spans="1:12" x14ac:dyDescent="0.25">
      <c r="A1199" s="1343"/>
      <c r="B1199" s="1845" t="s">
        <v>548</v>
      </c>
      <c r="C1199" s="1846"/>
      <c r="D1199" s="1846"/>
      <c r="E1199" s="1847"/>
      <c r="F1199" s="1341">
        <f>SUM(F1191:F1197)</f>
        <v>6180700</v>
      </c>
      <c r="G1199" s="1354"/>
    </row>
    <row r="1200" spans="1:12" ht="15.75" thickBot="1" x14ac:dyDescent="0.3">
      <c r="A1200" s="1343"/>
      <c r="B1200" s="1845" t="s">
        <v>26</v>
      </c>
      <c r="C1200" s="1846"/>
      <c r="D1200" s="1846"/>
      <c r="E1200" s="1847"/>
      <c r="F1200" s="1341"/>
      <c r="G1200" s="1354" t="s">
        <v>1845</v>
      </c>
      <c r="L1200" s="172"/>
    </row>
    <row r="1201" spans="1:7" x14ac:dyDescent="0.25">
      <c r="A1201" s="116"/>
      <c r="B1201" s="116"/>
      <c r="C1201" s="116"/>
      <c r="D1201" s="116"/>
      <c r="E1201" s="116"/>
      <c r="F1201" s="116"/>
      <c r="G1201" s="116"/>
    </row>
    <row r="1202" spans="1:7" x14ac:dyDescent="0.25">
      <c r="A1202" s="116"/>
      <c r="B1202" s="116"/>
      <c r="C1202" s="116"/>
      <c r="D1202" s="116"/>
      <c r="E1202" s="116"/>
      <c r="F1202" s="116"/>
      <c r="G1202" s="116"/>
    </row>
    <row r="1203" spans="1:7" x14ac:dyDescent="0.25">
      <c r="A1203" s="116"/>
      <c r="B1203" s="116"/>
      <c r="C1203" s="116"/>
      <c r="D1203" s="116"/>
      <c r="E1203" s="116"/>
      <c r="F1203" s="116"/>
      <c r="G1203" s="116"/>
    </row>
    <row r="1204" spans="1:7" x14ac:dyDescent="0.25">
      <c r="A1204" s="116"/>
      <c r="B1204" s="116"/>
      <c r="C1204" s="116"/>
      <c r="D1204" s="116"/>
      <c r="E1204" s="116"/>
      <c r="F1204" s="116"/>
      <c r="G1204" s="116"/>
    </row>
    <row r="1205" spans="1:7" x14ac:dyDescent="0.25">
      <c r="A1205" s="116"/>
      <c r="B1205" s="116"/>
      <c r="C1205" s="116"/>
      <c r="D1205" s="116"/>
      <c r="E1205" s="116"/>
      <c r="F1205" s="116"/>
      <c r="G1205" s="116"/>
    </row>
    <row r="1206" spans="1:7" x14ac:dyDescent="0.25">
      <c r="A1206" s="116"/>
      <c r="B1206" s="116"/>
      <c r="C1206" s="116"/>
      <c r="D1206" s="116"/>
      <c r="E1206" s="116"/>
      <c r="F1206" s="116"/>
      <c r="G1206" s="116"/>
    </row>
    <row r="1207" spans="1:7" x14ac:dyDescent="0.25">
      <c r="A1207" s="116"/>
      <c r="B1207" s="116"/>
      <c r="C1207" s="116"/>
      <c r="D1207" s="116"/>
      <c r="E1207" s="116"/>
      <c r="F1207" s="116"/>
      <c r="G1207" s="116"/>
    </row>
    <row r="1208" spans="1:7" x14ac:dyDescent="0.25">
      <c r="A1208" s="116"/>
      <c r="B1208" s="116"/>
      <c r="C1208" s="116"/>
      <c r="D1208" s="116"/>
      <c r="E1208" s="116"/>
      <c r="F1208" s="116"/>
      <c r="G1208" s="116"/>
    </row>
    <row r="1209" spans="1:7" x14ac:dyDescent="0.25">
      <c r="A1209" s="116"/>
      <c r="B1209" s="116"/>
      <c r="C1209" s="116"/>
      <c r="D1209" s="116"/>
      <c r="E1209" s="116"/>
      <c r="F1209" s="116"/>
      <c r="G1209" s="116"/>
    </row>
    <row r="1210" spans="1:7" x14ac:dyDescent="0.25">
      <c r="A1210" s="116"/>
      <c r="B1210" s="116"/>
      <c r="C1210" s="116"/>
      <c r="D1210" s="116"/>
      <c r="E1210" s="116"/>
      <c r="F1210" s="116"/>
      <c r="G1210" s="116"/>
    </row>
    <row r="1211" spans="1:7" x14ac:dyDescent="0.25">
      <c r="A1211" s="116"/>
      <c r="B1211" s="116"/>
      <c r="C1211" s="116"/>
      <c r="D1211" s="116"/>
      <c r="E1211" s="116"/>
      <c r="F1211" s="116"/>
      <c r="G1211" s="116"/>
    </row>
    <row r="1212" spans="1:7" x14ac:dyDescent="0.25">
      <c r="A1212" s="116"/>
      <c r="B1212" s="116"/>
      <c r="C1212" s="116"/>
      <c r="D1212" s="116"/>
      <c r="E1212" s="116"/>
      <c r="F1212" s="116"/>
      <c r="G1212" s="116"/>
    </row>
    <row r="1213" spans="1:7" x14ac:dyDescent="0.25">
      <c r="A1213" s="116"/>
      <c r="B1213" s="116"/>
      <c r="C1213" s="116"/>
      <c r="D1213" s="116"/>
      <c r="E1213" s="116"/>
      <c r="F1213" s="116"/>
      <c r="G1213" s="116"/>
    </row>
    <row r="1214" spans="1:7" x14ac:dyDescent="0.25">
      <c r="A1214" s="1852" t="s">
        <v>995</v>
      </c>
      <c r="B1214" s="1852"/>
      <c r="C1214" s="1852"/>
      <c r="D1214" s="1852"/>
      <c r="E1214" s="1852"/>
      <c r="F1214" s="1852"/>
      <c r="G1214" s="1852"/>
    </row>
    <row r="1215" spans="1:7" x14ac:dyDescent="0.25">
      <c r="A1215" s="1852" t="s">
        <v>1</v>
      </c>
      <c r="B1215" s="1852"/>
      <c r="C1215" s="1852"/>
      <c r="D1215" s="1852"/>
      <c r="E1215" s="1852"/>
      <c r="F1215" s="1852"/>
      <c r="G1215" s="1852"/>
    </row>
    <row r="1216" spans="1:7" x14ac:dyDescent="0.25">
      <c r="A1216" s="1852" t="s">
        <v>1425</v>
      </c>
      <c r="B1216" s="1852"/>
      <c r="C1216" s="1852"/>
      <c r="D1216" s="1852"/>
      <c r="E1216" s="1852"/>
      <c r="F1216" s="1852"/>
      <c r="G1216" s="1852"/>
    </row>
    <row r="1217" spans="1:7" x14ac:dyDescent="0.25">
      <c r="A1217" s="1307"/>
      <c r="B1217" s="1308"/>
      <c r="C1217" s="1309"/>
      <c r="D1217" s="1309"/>
      <c r="E1217" s="1310"/>
      <c r="F1217" s="1310"/>
      <c r="G1217" s="1310"/>
    </row>
    <row r="1218" spans="1:7" x14ac:dyDescent="0.25">
      <c r="A1218" s="1310" t="s">
        <v>1483</v>
      </c>
      <c r="B1218" s="1311"/>
      <c r="C1218" s="1312"/>
      <c r="D1218" s="1312"/>
      <c r="E1218" s="1313"/>
      <c r="F1218" s="1313"/>
      <c r="G1218" s="1310"/>
    </row>
    <row r="1219" spans="1:7" x14ac:dyDescent="0.25">
      <c r="A1219" s="1314" t="s">
        <v>712</v>
      </c>
      <c r="B1219" s="1315" t="s">
        <v>1504</v>
      </c>
      <c r="C1219" s="1312"/>
      <c r="D1219" s="1312"/>
      <c r="E1219" s="1313" t="s">
        <v>1484</v>
      </c>
      <c r="F1219" s="1313"/>
      <c r="G1219" s="1310"/>
    </row>
    <row r="1220" spans="1:7" ht="60" x14ac:dyDescent="0.25">
      <c r="A1220" s="1316" t="s">
        <v>749</v>
      </c>
      <c r="B1220" s="1317" t="s">
        <v>2335</v>
      </c>
      <c r="C1220" s="1312"/>
      <c r="D1220" s="1312"/>
      <c r="E1220" s="1313" t="s">
        <v>1485</v>
      </c>
      <c r="F1220" s="1313"/>
      <c r="G1220" s="1314"/>
    </row>
    <row r="1221" spans="1:7" ht="24" x14ac:dyDescent="0.25">
      <c r="A1221" s="1316" t="s">
        <v>1486</v>
      </c>
      <c r="B1221" s="1317" t="s">
        <v>2336</v>
      </c>
      <c r="C1221" s="1312"/>
      <c r="D1221" s="1312"/>
      <c r="E1221" s="1313"/>
      <c r="F1221" s="1313"/>
      <c r="G1221" s="1314"/>
    </row>
    <row r="1222" spans="1:7" x14ac:dyDescent="0.25">
      <c r="A1222" s="1310" t="s">
        <v>1487</v>
      </c>
      <c r="B1222" s="1311" t="s">
        <v>61</v>
      </c>
      <c r="C1222" s="1312"/>
      <c r="D1222" s="1312"/>
      <c r="E1222" s="1310"/>
      <c r="F1222" s="1310"/>
      <c r="G1222" s="1310"/>
    </row>
    <row r="1223" spans="1:7" x14ac:dyDescent="0.25">
      <c r="A1223" s="1314" t="s">
        <v>62</v>
      </c>
      <c r="B1223" s="1315" t="s">
        <v>63</v>
      </c>
      <c r="C1223" s="1312"/>
      <c r="D1223" s="1312"/>
      <c r="E1223" s="1314"/>
      <c r="F1223" s="1314"/>
      <c r="G1223" s="1314"/>
    </row>
    <row r="1224" spans="1:7" x14ac:dyDescent="0.25">
      <c r="A1224" s="1318"/>
      <c r="B1224" s="1319"/>
      <c r="C1224" s="1320"/>
      <c r="D1224" s="1320"/>
      <c r="E1224" s="1318"/>
      <c r="F1224" s="1318"/>
      <c r="G1224" s="1318"/>
    </row>
    <row r="1225" spans="1:7" ht="24" x14ac:dyDescent="0.25">
      <c r="A1225" s="1321" t="s">
        <v>30</v>
      </c>
      <c r="B1225" s="1321" t="s">
        <v>11</v>
      </c>
      <c r="C1225" s="1855" t="s">
        <v>12</v>
      </c>
      <c r="D1225" s="1856"/>
      <c r="E1225" s="1323" t="s">
        <v>13</v>
      </c>
      <c r="F1225" s="1322" t="s">
        <v>14</v>
      </c>
      <c r="G1225" s="1324" t="s">
        <v>266</v>
      </c>
    </row>
    <row r="1226" spans="1:7" x14ac:dyDescent="0.25">
      <c r="A1226" s="1325">
        <v>1</v>
      </c>
      <c r="B1226" s="1326">
        <v>2</v>
      </c>
      <c r="C1226" s="1853">
        <v>3</v>
      </c>
      <c r="D1226" s="1854"/>
      <c r="E1226" s="1329">
        <v>4</v>
      </c>
      <c r="F1226" s="1327">
        <v>5</v>
      </c>
      <c r="G1226" s="1330">
        <v>7</v>
      </c>
    </row>
    <row r="1227" spans="1:7" x14ac:dyDescent="0.25">
      <c r="A1227" s="1427" t="s">
        <v>2714</v>
      </c>
      <c r="B1227" s="1536" t="s">
        <v>287</v>
      </c>
      <c r="C1227" s="1327"/>
      <c r="D1227" s="1328"/>
      <c r="E1227" s="1329"/>
      <c r="F1227" s="1327"/>
      <c r="G1227" s="1330"/>
    </row>
    <row r="1228" spans="1:7" ht="24" x14ac:dyDescent="0.25">
      <c r="A1228" s="1331" t="s">
        <v>2715</v>
      </c>
      <c r="B1228" s="1332" t="s">
        <v>485</v>
      </c>
      <c r="C1228" s="1333"/>
      <c r="D1228" s="1334"/>
      <c r="E1228" s="1335"/>
      <c r="F1228" s="1336"/>
      <c r="G1228" s="1330"/>
    </row>
    <row r="1229" spans="1:7" ht="24" x14ac:dyDescent="0.25">
      <c r="A1229" s="1331" t="s">
        <v>2716</v>
      </c>
      <c r="B1229" s="1332" t="s">
        <v>2713</v>
      </c>
      <c r="C1229" s="1333"/>
      <c r="D1229" s="1334"/>
      <c r="E1229" s="1335"/>
      <c r="F1229" s="1336"/>
      <c r="G1229" s="1330"/>
    </row>
    <row r="1230" spans="1:7" ht="15.75" thickBot="1" x14ac:dyDescent="0.3">
      <c r="A1230" s="1338"/>
      <c r="B1230" s="1339" t="s">
        <v>2248</v>
      </c>
      <c r="C1230" s="1337">
        <v>1</v>
      </c>
      <c r="D1230" s="1334" t="s">
        <v>473</v>
      </c>
      <c r="E1230" s="1335">
        <v>184173</v>
      </c>
      <c r="F1230" s="1336">
        <f>E1230*C1230</f>
        <v>184173</v>
      </c>
      <c r="G1230" s="1330"/>
    </row>
    <row r="1231" spans="1:7" ht="15.75" thickBot="1" x14ac:dyDescent="0.3">
      <c r="A1231" s="1340"/>
      <c r="B1231" s="1845" t="s">
        <v>548</v>
      </c>
      <c r="C1231" s="1846"/>
      <c r="D1231" s="1846"/>
      <c r="E1231" s="1847"/>
      <c r="F1231" s="1341">
        <f>SUM(F1230:F1230)</f>
        <v>184173</v>
      </c>
      <c r="G1231" s="1330"/>
    </row>
    <row r="1232" spans="1:7" x14ac:dyDescent="0.25">
      <c r="A1232" s="1331"/>
      <c r="B1232" s="1355" t="s">
        <v>1491</v>
      </c>
      <c r="C1232" s="1343"/>
      <c r="D1232" s="1344"/>
      <c r="E1232" s="1340"/>
      <c r="F1232" s="1345"/>
      <c r="G1232" s="1330"/>
    </row>
    <row r="1233" spans="1:12" ht="16.5" x14ac:dyDescent="0.25">
      <c r="A1233" s="1358"/>
      <c r="B1233" s="1364" t="s">
        <v>2431</v>
      </c>
      <c r="C1233" s="1343">
        <v>372</v>
      </c>
      <c r="D1233" s="1344" t="s">
        <v>110</v>
      </c>
      <c r="E1233" s="1365">
        <v>4000</v>
      </c>
      <c r="F1233" s="1345">
        <f>E1233*C1233</f>
        <v>1488000</v>
      </c>
      <c r="G1233" s="1330"/>
    </row>
    <row r="1234" spans="1:12" ht="16.5" x14ac:dyDescent="0.25">
      <c r="A1234" s="1358"/>
      <c r="B1234" s="1735" t="s">
        <v>2253</v>
      </c>
      <c r="C1234" s="1343">
        <v>451</v>
      </c>
      <c r="D1234" s="1344" t="s">
        <v>159</v>
      </c>
      <c r="E1234" s="1365">
        <v>3000</v>
      </c>
      <c r="F1234" s="1345">
        <f t="shared" ref="F1234:F1239" si="13">E1234*C1234</f>
        <v>1353000</v>
      </c>
      <c r="G1234" s="1330"/>
    </row>
    <row r="1235" spans="1:12" ht="16.5" x14ac:dyDescent="0.25">
      <c r="A1235" s="1358"/>
      <c r="B1235" s="1735" t="s">
        <v>1492</v>
      </c>
      <c r="C1235" s="1343">
        <v>1</v>
      </c>
      <c r="D1235" s="1344" t="s">
        <v>843</v>
      </c>
      <c r="E1235" s="1365">
        <v>400000</v>
      </c>
      <c r="F1235" s="1345">
        <f t="shared" si="13"/>
        <v>400000</v>
      </c>
      <c r="G1235" s="1330"/>
    </row>
    <row r="1236" spans="1:12" ht="16.5" x14ac:dyDescent="0.25">
      <c r="A1236" s="1358"/>
      <c r="B1236" s="1364" t="s">
        <v>2337</v>
      </c>
      <c r="C1236" s="1343">
        <v>3</v>
      </c>
      <c r="D1236" s="1344" t="s">
        <v>2310</v>
      </c>
      <c r="E1236" s="1365">
        <v>65000</v>
      </c>
      <c r="F1236" s="1345">
        <f t="shared" si="13"/>
        <v>195000</v>
      </c>
      <c r="G1236" s="1330"/>
    </row>
    <row r="1237" spans="1:12" ht="16.5" x14ac:dyDescent="0.25">
      <c r="A1237" s="1358"/>
      <c r="B1237" s="1735" t="s">
        <v>2254</v>
      </c>
      <c r="C1237" s="1325">
        <v>1</v>
      </c>
      <c r="D1237" s="1325" t="s">
        <v>110</v>
      </c>
      <c r="E1237" s="1347">
        <v>250000</v>
      </c>
      <c r="F1237" s="1345">
        <f t="shared" si="13"/>
        <v>250000</v>
      </c>
      <c r="G1237" s="1330"/>
    </row>
    <row r="1238" spans="1:12" ht="16.5" x14ac:dyDescent="0.25">
      <c r="A1238" s="1358"/>
      <c r="B1238" s="1735" t="s">
        <v>1497</v>
      </c>
      <c r="C1238" s="1325">
        <v>1</v>
      </c>
      <c r="D1238" s="1325" t="s">
        <v>110</v>
      </c>
      <c r="E1238" s="1347">
        <v>500000</v>
      </c>
      <c r="F1238" s="1345">
        <f t="shared" si="13"/>
        <v>500000</v>
      </c>
      <c r="G1238" s="1330"/>
    </row>
    <row r="1239" spans="1:12" ht="16.5" x14ac:dyDescent="0.25">
      <c r="A1239" s="1358"/>
      <c r="B1239" s="1738" t="s">
        <v>2338</v>
      </c>
      <c r="C1239" s="1349">
        <v>1</v>
      </c>
      <c r="D1239" s="1350" t="s">
        <v>178</v>
      </c>
      <c r="E1239" s="1351">
        <v>2500000</v>
      </c>
      <c r="F1239" s="1739">
        <f t="shared" si="13"/>
        <v>2500000</v>
      </c>
      <c r="G1239" s="1330"/>
    </row>
    <row r="1240" spans="1:12" ht="15.75" thickBot="1" x14ac:dyDescent="0.3">
      <c r="A1240" s="1338"/>
      <c r="B1240" s="1359"/>
      <c r="C1240" s="1360"/>
      <c r="D1240" s="1361"/>
      <c r="E1240" s="1362"/>
      <c r="F1240" s="1352"/>
      <c r="G1240" s="1330"/>
    </row>
    <row r="1241" spans="1:12" x14ac:dyDescent="0.25">
      <c r="A1241" s="1343"/>
      <c r="B1241" s="1845" t="s">
        <v>548</v>
      </c>
      <c r="C1241" s="1846"/>
      <c r="D1241" s="1846"/>
      <c r="E1241" s="1847"/>
      <c r="F1241" s="1341">
        <f>SUM(F1233:F1239)</f>
        <v>6686000</v>
      </c>
      <c r="G1241" s="1354"/>
    </row>
    <row r="1242" spans="1:12" ht="15.75" thickBot="1" x14ac:dyDescent="0.3">
      <c r="A1242" s="1343"/>
      <c r="B1242" s="1845" t="s">
        <v>26</v>
      </c>
      <c r="C1242" s="1846"/>
      <c r="D1242" s="1846"/>
      <c r="E1242" s="1847"/>
      <c r="F1242" s="1341"/>
      <c r="G1242" s="1354" t="s">
        <v>1845</v>
      </c>
      <c r="L1242" s="172"/>
    </row>
    <row r="1243" spans="1:12" x14ac:dyDescent="0.25">
      <c r="A1243" s="116"/>
      <c r="B1243" s="116"/>
      <c r="C1243" s="116"/>
      <c r="D1243" s="116"/>
      <c r="E1243" s="116"/>
      <c r="F1243" s="116"/>
      <c r="G1243" s="116"/>
    </row>
    <row r="1244" spans="1:12" x14ac:dyDescent="0.25">
      <c r="A1244" s="116"/>
      <c r="B1244" s="116"/>
      <c r="C1244" s="116"/>
      <c r="D1244" s="116"/>
      <c r="E1244" s="116"/>
      <c r="F1244" s="116"/>
      <c r="G1244" s="116"/>
    </row>
    <row r="1245" spans="1:12" x14ac:dyDescent="0.25">
      <c r="A1245" s="116"/>
      <c r="B1245" s="116"/>
      <c r="C1245" s="116"/>
      <c r="D1245" s="116"/>
      <c r="E1245" s="116"/>
      <c r="F1245" s="116"/>
      <c r="G1245" s="116"/>
    </row>
    <row r="1246" spans="1:12" x14ac:dyDescent="0.25">
      <c r="A1246" s="1852" t="s">
        <v>995</v>
      </c>
      <c r="B1246" s="1852"/>
      <c r="C1246" s="1852"/>
      <c r="D1246" s="1852"/>
      <c r="E1246" s="1852"/>
      <c r="F1246" s="1852"/>
      <c r="G1246" s="1852"/>
    </row>
    <row r="1247" spans="1:12" x14ac:dyDescent="0.25">
      <c r="A1247" s="1852" t="s">
        <v>1</v>
      </c>
      <c r="B1247" s="1852"/>
      <c r="C1247" s="1852"/>
      <c r="D1247" s="1852"/>
      <c r="E1247" s="1852"/>
      <c r="F1247" s="1852"/>
      <c r="G1247" s="1852"/>
    </row>
    <row r="1248" spans="1:12" x14ac:dyDescent="0.25">
      <c r="A1248" s="1852" t="s">
        <v>1425</v>
      </c>
      <c r="B1248" s="1852"/>
      <c r="C1248" s="1852"/>
      <c r="D1248" s="1852"/>
      <c r="E1248" s="1852"/>
      <c r="F1248" s="1852"/>
      <c r="G1248" s="1852"/>
    </row>
    <row r="1249" spans="1:7" x14ac:dyDescent="0.25">
      <c r="A1249" s="1307"/>
      <c r="B1249" s="1308"/>
      <c r="C1249" s="1309"/>
      <c r="D1249" s="1309"/>
      <c r="E1249" s="1310"/>
      <c r="F1249" s="1310"/>
      <c r="G1249" s="1310"/>
    </row>
    <row r="1250" spans="1:7" x14ac:dyDescent="0.25">
      <c r="A1250" s="1310" t="s">
        <v>1483</v>
      </c>
      <c r="B1250" s="1311"/>
      <c r="C1250" s="1312"/>
      <c r="D1250" s="1312"/>
      <c r="E1250" s="1313"/>
      <c r="F1250" s="1313"/>
      <c r="G1250" s="1310"/>
    </row>
    <row r="1251" spans="1:7" x14ac:dyDescent="0.25">
      <c r="A1251" s="1314" t="s">
        <v>712</v>
      </c>
      <c r="B1251" s="1315" t="s">
        <v>1504</v>
      </c>
      <c r="C1251" s="1312"/>
      <c r="D1251" s="1312"/>
      <c r="E1251" s="1313" t="s">
        <v>1484</v>
      </c>
      <c r="F1251" s="1313"/>
      <c r="G1251" s="1310"/>
    </row>
    <row r="1252" spans="1:7" ht="45" x14ac:dyDescent="0.25">
      <c r="A1252" s="1316" t="s">
        <v>749</v>
      </c>
      <c r="B1252" s="1317" t="s">
        <v>2339</v>
      </c>
      <c r="C1252" s="1312"/>
      <c r="D1252" s="1312"/>
      <c r="E1252" s="1313" t="s">
        <v>1485</v>
      </c>
      <c r="F1252" s="1313"/>
      <c r="G1252" s="1314"/>
    </row>
    <row r="1253" spans="1:7" ht="24" x14ac:dyDescent="0.25">
      <c r="A1253" s="1316" t="s">
        <v>1486</v>
      </c>
      <c r="B1253" s="1317" t="s">
        <v>2340</v>
      </c>
      <c r="C1253" s="1312"/>
      <c r="D1253" s="1312"/>
      <c r="E1253" s="1313"/>
      <c r="F1253" s="1313"/>
      <c r="G1253" s="1314"/>
    </row>
    <row r="1254" spans="1:7" x14ac:dyDescent="0.25">
      <c r="A1254" s="1310" t="s">
        <v>1487</v>
      </c>
      <c r="B1254" s="1311" t="s">
        <v>61</v>
      </c>
      <c r="C1254" s="1312"/>
      <c r="D1254" s="1312"/>
      <c r="E1254" s="1310"/>
      <c r="F1254" s="1310"/>
      <c r="G1254" s="1310"/>
    </row>
    <row r="1255" spans="1:7" x14ac:dyDescent="0.25">
      <c r="A1255" s="1314" t="s">
        <v>62</v>
      </c>
      <c r="B1255" s="1315" t="s">
        <v>63</v>
      </c>
      <c r="C1255" s="1312"/>
      <c r="D1255" s="1312"/>
      <c r="E1255" s="1314"/>
      <c r="F1255" s="1314"/>
      <c r="G1255" s="1314"/>
    </row>
    <row r="1256" spans="1:7" x14ac:dyDescent="0.25">
      <c r="A1256" s="1318"/>
      <c r="B1256" s="1319"/>
      <c r="C1256" s="1320"/>
      <c r="D1256" s="1320"/>
      <c r="E1256" s="1318"/>
      <c r="F1256" s="1318"/>
      <c r="G1256" s="1318"/>
    </row>
    <row r="1257" spans="1:7" ht="24" x14ac:dyDescent="0.25">
      <c r="A1257" s="1321" t="s">
        <v>30</v>
      </c>
      <c r="B1257" s="1321" t="s">
        <v>11</v>
      </c>
      <c r="C1257" s="1855" t="s">
        <v>12</v>
      </c>
      <c r="D1257" s="1856"/>
      <c r="E1257" s="1323" t="s">
        <v>13</v>
      </c>
      <c r="F1257" s="1322" t="s">
        <v>14</v>
      </c>
      <c r="G1257" s="1324" t="s">
        <v>266</v>
      </c>
    </row>
    <row r="1258" spans="1:7" x14ac:dyDescent="0.25">
      <c r="A1258" s="1325">
        <v>1</v>
      </c>
      <c r="B1258" s="1326">
        <v>2</v>
      </c>
      <c r="C1258" s="1853">
        <v>3</v>
      </c>
      <c r="D1258" s="1854"/>
      <c r="E1258" s="1329">
        <v>4</v>
      </c>
      <c r="F1258" s="1327">
        <v>5</v>
      </c>
      <c r="G1258" s="1330">
        <v>7</v>
      </c>
    </row>
    <row r="1259" spans="1:7" x14ac:dyDescent="0.25">
      <c r="A1259" s="1427" t="s">
        <v>2714</v>
      </c>
      <c r="B1259" s="1536" t="s">
        <v>287</v>
      </c>
      <c r="C1259" s="1327"/>
      <c r="D1259" s="1328"/>
      <c r="E1259" s="1329"/>
      <c r="F1259" s="1327"/>
      <c r="G1259" s="1330"/>
    </row>
    <row r="1260" spans="1:7" ht="24" x14ac:dyDescent="0.25">
      <c r="A1260" s="1331" t="s">
        <v>2715</v>
      </c>
      <c r="B1260" s="1332" t="s">
        <v>485</v>
      </c>
      <c r="C1260" s="1333"/>
      <c r="D1260" s="1334"/>
      <c r="E1260" s="1335"/>
      <c r="F1260" s="1336"/>
      <c r="G1260" s="1330"/>
    </row>
    <row r="1261" spans="1:7" ht="24" x14ac:dyDescent="0.25">
      <c r="A1261" s="1331" t="s">
        <v>2716</v>
      </c>
      <c r="B1261" s="1332" t="s">
        <v>2713</v>
      </c>
      <c r="C1261" s="1333"/>
      <c r="D1261" s="1334"/>
      <c r="E1261" s="1335"/>
      <c r="F1261" s="1336"/>
      <c r="G1261" s="1330"/>
    </row>
    <row r="1262" spans="1:7" ht="15.75" thickBot="1" x14ac:dyDescent="0.3">
      <c r="A1262" s="1338"/>
      <c r="B1262" s="1339" t="s">
        <v>2248</v>
      </c>
      <c r="C1262" s="1337">
        <v>1</v>
      </c>
      <c r="D1262" s="1334" t="s">
        <v>473</v>
      </c>
      <c r="E1262" s="1335">
        <v>99190</v>
      </c>
      <c r="F1262" s="1336">
        <f>E1262*C1262</f>
        <v>99190</v>
      </c>
      <c r="G1262" s="1330"/>
    </row>
    <row r="1263" spans="1:7" ht="15.75" thickBot="1" x14ac:dyDescent="0.3">
      <c r="A1263" s="1340"/>
      <c r="B1263" s="1845" t="s">
        <v>548</v>
      </c>
      <c r="C1263" s="1846"/>
      <c r="D1263" s="1846"/>
      <c r="E1263" s="1847"/>
      <c r="F1263" s="1341">
        <f>SUM(F1262:F1262)</f>
        <v>99190</v>
      </c>
      <c r="G1263" s="1330"/>
    </row>
    <row r="1264" spans="1:7" x14ac:dyDescent="0.25">
      <c r="A1264" s="1331"/>
      <c r="B1264" s="1355" t="s">
        <v>1491</v>
      </c>
      <c r="C1264" s="1343"/>
      <c r="D1264" s="1344"/>
      <c r="E1264" s="1340"/>
      <c r="F1264" s="1345"/>
      <c r="G1264" s="1330"/>
    </row>
    <row r="1265" spans="1:12" ht="16.5" x14ac:dyDescent="0.25">
      <c r="A1265" s="1358"/>
      <c r="B1265" s="1364" t="s">
        <v>2270</v>
      </c>
      <c r="C1265" s="1343">
        <v>1</v>
      </c>
      <c r="D1265" s="1737" t="s">
        <v>843</v>
      </c>
      <c r="E1265" s="1365">
        <v>2350000</v>
      </c>
      <c r="F1265" s="1345">
        <f>E1265*C1265</f>
        <v>2350000</v>
      </c>
      <c r="G1265" s="1330"/>
    </row>
    <row r="1266" spans="1:12" ht="16.5" x14ac:dyDescent="0.25">
      <c r="A1266" s="1358"/>
      <c r="B1266" s="1366" t="s">
        <v>2283</v>
      </c>
      <c r="C1266" s="1343">
        <v>0.5</v>
      </c>
      <c r="D1266" s="1737" t="s">
        <v>1494</v>
      </c>
      <c r="E1266" s="1365">
        <v>35000</v>
      </c>
      <c r="F1266" s="1345">
        <f t="shared" ref="F1266:F1271" si="14">E1266*C1266</f>
        <v>17500</v>
      </c>
      <c r="G1266" s="1330"/>
    </row>
    <row r="1267" spans="1:12" ht="16.5" x14ac:dyDescent="0.25">
      <c r="A1267" s="1358"/>
      <c r="B1267" s="1364" t="s">
        <v>2284</v>
      </c>
      <c r="C1267" s="1343">
        <v>13</v>
      </c>
      <c r="D1267" s="1737" t="s">
        <v>1494</v>
      </c>
      <c r="E1267" s="1365">
        <v>13700</v>
      </c>
      <c r="F1267" s="1345">
        <f t="shared" si="14"/>
        <v>178100</v>
      </c>
      <c r="G1267" s="1330"/>
    </row>
    <row r="1268" spans="1:12" ht="16.5" x14ac:dyDescent="0.25">
      <c r="A1268" s="1358"/>
      <c r="B1268" s="1366" t="s">
        <v>2277</v>
      </c>
      <c r="C1268" s="1325">
        <v>0.5</v>
      </c>
      <c r="D1268" s="1737" t="s">
        <v>1494</v>
      </c>
      <c r="E1268" s="1365">
        <v>35000</v>
      </c>
      <c r="F1268" s="1345">
        <f t="shared" si="14"/>
        <v>17500</v>
      </c>
      <c r="G1268" s="1330"/>
    </row>
    <row r="1269" spans="1:12" ht="16.5" x14ac:dyDescent="0.25">
      <c r="A1269" s="1358"/>
      <c r="B1269" s="1364" t="s">
        <v>2253</v>
      </c>
      <c r="C1269" s="1325">
        <v>22</v>
      </c>
      <c r="D1269" s="1737" t="s">
        <v>1494</v>
      </c>
      <c r="E1269" s="1347">
        <v>3000</v>
      </c>
      <c r="F1269" s="1345">
        <f t="shared" si="14"/>
        <v>66000</v>
      </c>
      <c r="G1269" s="1330"/>
    </row>
    <row r="1270" spans="1:12" ht="16.5" x14ac:dyDescent="0.25">
      <c r="A1270" s="1358"/>
      <c r="B1270" s="1366" t="s">
        <v>2266</v>
      </c>
      <c r="C1270" s="1349">
        <v>0.5</v>
      </c>
      <c r="D1270" s="1737" t="s">
        <v>843</v>
      </c>
      <c r="E1270" s="1365">
        <v>325000</v>
      </c>
      <c r="F1270" s="1345">
        <f t="shared" si="14"/>
        <v>162500</v>
      </c>
      <c r="G1270" s="1330"/>
    </row>
    <row r="1271" spans="1:12" ht="16.5" x14ac:dyDescent="0.25">
      <c r="A1271" s="1358"/>
      <c r="B1271" s="1364" t="s">
        <v>2267</v>
      </c>
      <c r="C1271" s="1349">
        <v>0.5</v>
      </c>
      <c r="D1271" s="1737" t="s">
        <v>843</v>
      </c>
      <c r="E1271" s="1365">
        <v>350000</v>
      </c>
      <c r="F1271" s="1345">
        <f t="shared" si="14"/>
        <v>175000</v>
      </c>
      <c r="G1271" s="1330"/>
    </row>
    <row r="1272" spans="1:12" ht="15.75" thickBot="1" x14ac:dyDescent="0.3">
      <c r="A1272" s="1338"/>
      <c r="B1272" s="1359"/>
      <c r="C1272" s="1360"/>
      <c r="D1272" s="1361"/>
      <c r="E1272" s="1362"/>
      <c r="F1272" s="1352"/>
      <c r="G1272" s="1330"/>
    </row>
    <row r="1273" spans="1:12" ht="15.75" thickBot="1" x14ac:dyDescent="0.3">
      <c r="A1273" s="1343"/>
      <c r="B1273" s="1845" t="s">
        <v>548</v>
      </c>
      <c r="C1273" s="1846"/>
      <c r="D1273" s="1846"/>
      <c r="E1273" s="1847"/>
      <c r="F1273" s="1341">
        <f>SUM(F1265:F1271)</f>
        <v>2966600</v>
      </c>
      <c r="G1273" s="1354"/>
    </row>
    <row r="1274" spans="1:12" ht="15.75" thickBot="1" x14ac:dyDescent="0.3">
      <c r="A1274" s="1343"/>
      <c r="B1274" s="1845" t="s">
        <v>26</v>
      </c>
      <c r="C1274" s="1846"/>
      <c r="D1274" s="1846"/>
      <c r="E1274" s="1847"/>
      <c r="F1274" s="1341"/>
      <c r="G1274" s="1354" t="s">
        <v>1845</v>
      </c>
      <c r="L1274" s="172"/>
    </row>
    <row r="1275" spans="1:12" x14ac:dyDescent="0.25">
      <c r="A1275" s="116"/>
      <c r="B1275" s="116"/>
      <c r="C1275" s="116"/>
      <c r="D1275" s="116"/>
      <c r="E1275" s="116"/>
      <c r="F1275" s="116"/>
      <c r="G1275" s="116"/>
    </row>
    <row r="1276" spans="1:12" x14ac:dyDescent="0.25">
      <c r="A1276" s="116"/>
      <c r="B1276" s="116"/>
      <c r="C1276" s="116"/>
      <c r="D1276" s="116"/>
      <c r="E1276" s="116"/>
      <c r="F1276" s="116"/>
      <c r="G1276" s="116"/>
    </row>
    <row r="1277" spans="1:12" x14ac:dyDescent="0.25">
      <c r="A1277" s="116"/>
      <c r="B1277" s="116"/>
      <c r="C1277" s="116"/>
      <c r="D1277" s="116"/>
      <c r="E1277" s="116"/>
      <c r="F1277" s="116"/>
      <c r="G1277" s="116"/>
    </row>
    <row r="1278" spans="1:12" x14ac:dyDescent="0.25">
      <c r="A1278" s="116"/>
      <c r="B1278" s="116"/>
      <c r="C1278" s="116"/>
      <c r="D1278" s="116"/>
      <c r="E1278" s="116"/>
      <c r="F1278" s="116"/>
      <c r="G1278" s="116"/>
    </row>
    <row r="1279" spans="1:12" x14ac:dyDescent="0.25">
      <c r="A1279" s="116"/>
      <c r="B1279" s="116"/>
      <c r="C1279" s="116"/>
      <c r="D1279" s="116"/>
      <c r="E1279" s="116"/>
      <c r="F1279" s="116"/>
      <c r="G1279" s="116"/>
    </row>
    <row r="1280" spans="1:12" x14ac:dyDescent="0.25">
      <c r="A1280" s="116"/>
      <c r="B1280" s="116"/>
      <c r="C1280" s="116"/>
      <c r="D1280" s="116"/>
      <c r="E1280" s="116"/>
      <c r="F1280" s="116"/>
      <c r="G1280" s="116"/>
    </row>
    <row r="1281" spans="1:7" x14ac:dyDescent="0.25">
      <c r="A1281" s="116"/>
      <c r="B1281" s="116"/>
      <c r="C1281" s="116"/>
      <c r="D1281" s="116"/>
      <c r="E1281" s="116"/>
      <c r="F1281" s="116"/>
      <c r="G1281" s="116"/>
    </row>
    <row r="1282" spans="1:7" x14ac:dyDescent="0.25">
      <c r="A1282" s="1852" t="s">
        <v>995</v>
      </c>
      <c r="B1282" s="1852"/>
      <c r="C1282" s="1852"/>
      <c r="D1282" s="1852"/>
      <c r="E1282" s="1852"/>
      <c r="F1282" s="1852"/>
      <c r="G1282" s="1852"/>
    </row>
    <row r="1283" spans="1:7" x14ac:dyDescent="0.25">
      <c r="A1283" s="1852" t="s">
        <v>1</v>
      </c>
      <c r="B1283" s="1852"/>
      <c r="C1283" s="1852"/>
      <c r="D1283" s="1852"/>
      <c r="E1283" s="1852"/>
      <c r="F1283" s="1852"/>
      <c r="G1283" s="1852"/>
    </row>
    <row r="1284" spans="1:7" x14ac:dyDescent="0.25">
      <c r="A1284" s="1852" t="s">
        <v>1425</v>
      </c>
      <c r="B1284" s="1852"/>
      <c r="C1284" s="1852"/>
      <c r="D1284" s="1852"/>
      <c r="E1284" s="1852"/>
      <c r="F1284" s="1852"/>
      <c r="G1284" s="1852"/>
    </row>
    <row r="1285" spans="1:7" x14ac:dyDescent="0.25">
      <c r="A1285" s="1307"/>
      <c r="B1285" s="1308"/>
      <c r="C1285" s="1309"/>
      <c r="D1285" s="1309"/>
      <c r="E1285" s="1310"/>
      <c r="F1285" s="1310"/>
      <c r="G1285" s="1310"/>
    </row>
    <row r="1286" spans="1:7" x14ac:dyDescent="0.25">
      <c r="A1286" s="1310" t="s">
        <v>1483</v>
      </c>
      <c r="B1286" s="1311"/>
      <c r="C1286" s="1312"/>
      <c r="D1286" s="1312"/>
      <c r="E1286" s="1313"/>
      <c r="F1286" s="1313"/>
      <c r="G1286" s="1310"/>
    </row>
    <row r="1287" spans="1:7" x14ac:dyDescent="0.25">
      <c r="A1287" s="1314" t="s">
        <v>712</v>
      </c>
      <c r="B1287" s="1315" t="s">
        <v>1504</v>
      </c>
      <c r="C1287" s="1312"/>
      <c r="D1287" s="1312"/>
      <c r="E1287" s="1313" t="s">
        <v>1484</v>
      </c>
      <c r="F1287" s="1313"/>
      <c r="G1287" s="1310"/>
    </row>
    <row r="1288" spans="1:7" ht="45" x14ac:dyDescent="0.25">
      <c r="A1288" s="1316" t="s">
        <v>749</v>
      </c>
      <c r="B1288" s="1317" t="s">
        <v>2341</v>
      </c>
      <c r="C1288" s="1312"/>
      <c r="D1288" s="1312"/>
      <c r="E1288" s="1313" t="s">
        <v>1485</v>
      </c>
      <c r="F1288" s="1313"/>
      <c r="G1288" s="1314"/>
    </row>
    <row r="1289" spans="1:7" ht="24" x14ac:dyDescent="0.25">
      <c r="A1289" s="1316" t="s">
        <v>1486</v>
      </c>
      <c r="B1289" s="1317" t="s">
        <v>2342</v>
      </c>
      <c r="C1289" s="1312"/>
      <c r="D1289" s="1312"/>
      <c r="E1289" s="1313"/>
      <c r="F1289" s="1313"/>
      <c r="G1289" s="1314"/>
    </row>
    <row r="1290" spans="1:7" x14ac:dyDescent="0.25">
      <c r="A1290" s="1310" t="s">
        <v>1487</v>
      </c>
      <c r="B1290" s="1311" t="s">
        <v>61</v>
      </c>
      <c r="C1290" s="1312"/>
      <c r="D1290" s="1312"/>
      <c r="E1290" s="1310"/>
      <c r="F1290" s="1310"/>
      <c r="G1290" s="1310"/>
    </row>
    <row r="1291" spans="1:7" x14ac:dyDescent="0.25">
      <c r="A1291" s="1314" t="s">
        <v>62</v>
      </c>
      <c r="B1291" s="1315" t="s">
        <v>63</v>
      </c>
      <c r="C1291" s="1312"/>
      <c r="D1291" s="1312"/>
      <c r="E1291" s="1314"/>
      <c r="F1291" s="1314"/>
      <c r="G1291" s="1314"/>
    </row>
    <row r="1292" spans="1:7" x14ac:dyDescent="0.25">
      <c r="A1292" s="1318"/>
      <c r="B1292" s="1319"/>
      <c r="C1292" s="1320"/>
      <c r="D1292" s="1320"/>
      <c r="E1292" s="1318"/>
      <c r="F1292" s="1318"/>
      <c r="G1292" s="1318"/>
    </row>
    <row r="1293" spans="1:7" ht="24" x14ac:dyDescent="0.25">
      <c r="A1293" s="1321" t="s">
        <v>30</v>
      </c>
      <c r="B1293" s="1321" t="s">
        <v>11</v>
      </c>
      <c r="C1293" s="1855" t="s">
        <v>12</v>
      </c>
      <c r="D1293" s="1856"/>
      <c r="E1293" s="1323" t="s">
        <v>13</v>
      </c>
      <c r="F1293" s="1322" t="s">
        <v>14</v>
      </c>
      <c r="G1293" s="1324" t="s">
        <v>266</v>
      </c>
    </row>
    <row r="1294" spans="1:7" x14ac:dyDescent="0.25">
      <c r="A1294" s="1325">
        <v>1</v>
      </c>
      <c r="B1294" s="1326">
        <v>2</v>
      </c>
      <c r="C1294" s="1853">
        <v>3</v>
      </c>
      <c r="D1294" s="1854"/>
      <c r="E1294" s="1329">
        <v>4</v>
      </c>
      <c r="F1294" s="1327">
        <v>5</v>
      </c>
      <c r="G1294" s="1330">
        <v>7</v>
      </c>
    </row>
    <row r="1295" spans="1:7" x14ac:dyDescent="0.25">
      <c r="A1295" s="1427" t="s">
        <v>2714</v>
      </c>
      <c r="B1295" s="1536" t="s">
        <v>287</v>
      </c>
      <c r="C1295" s="1327"/>
      <c r="D1295" s="1328"/>
      <c r="E1295" s="1329"/>
      <c r="F1295" s="1327"/>
      <c r="G1295" s="1330"/>
    </row>
    <row r="1296" spans="1:7" ht="24" x14ac:dyDescent="0.25">
      <c r="A1296" s="1331" t="s">
        <v>2715</v>
      </c>
      <c r="B1296" s="1332" t="s">
        <v>485</v>
      </c>
      <c r="C1296" s="1333"/>
      <c r="D1296" s="1334"/>
      <c r="E1296" s="1335"/>
      <c r="F1296" s="1336"/>
      <c r="G1296" s="1330"/>
    </row>
    <row r="1297" spans="1:12" ht="24" x14ac:dyDescent="0.25">
      <c r="A1297" s="1331" t="s">
        <v>2716</v>
      </c>
      <c r="B1297" s="1332" t="s">
        <v>2713</v>
      </c>
      <c r="C1297" s="1333"/>
      <c r="D1297" s="1334"/>
      <c r="E1297" s="1335"/>
      <c r="F1297" s="1336"/>
      <c r="G1297" s="1330"/>
    </row>
    <row r="1298" spans="1:12" ht="15.75" thickBot="1" x14ac:dyDescent="0.3">
      <c r="A1298" s="1338"/>
      <c r="B1298" s="1339" t="s">
        <v>2248</v>
      </c>
      <c r="C1298" s="1337">
        <v>1</v>
      </c>
      <c r="D1298" s="1334" t="s">
        <v>473</v>
      </c>
      <c r="E1298" s="1335">
        <v>127620</v>
      </c>
      <c r="F1298" s="1336">
        <f>E1298*C1298</f>
        <v>127620</v>
      </c>
      <c r="G1298" s="1330"/>
    </row>
    <row r="1299" spans="1:12" ht="15.75" thickBot="1" x14ac:dyDescent="0.3">
      <c r="A1299" s="1340"/>
      <c r="B1299" s="1845" t="s">
        <v>548</v>
      </c>
      <c r="C1299" s="1846"/>
      <c r="D1299" s="1846"/>
      <c r="E1299" s="1847"/>
      <c r="F1299" s="1341">
        <f>SUM(F1298:F1298)</f>
        <v>127620</v>
      </c>
      <c r="G1299" s="1330"/>
    </row>
    <row r="1300" spans="1:12" x14ac:dyDescent="0.25">
      <c r="A1300" s="1331"/>
      <c r="B1300" s="1355" t="s">
        <v>1491</v>
      </c>
      <c r="C1300" s="1343"/>
      <c r="D1300" s="1344"/>
      <c r="E1300" s="1340"/>
      <c r="F1300" s="1345"/>
      <c r="G1300" s="1330"/>
    </row>
    <row r="1301" spans="1:12" ht="16.5" x14ac:dyDescent="0.25">
      <c r="A1301" s="1358"/>
      <c r="B1301" s="1364" t="s">
        <v>2253</v>
      </c>
      <c r="C1301" s="1343">
        <v>1005</v>
      </c>
      <c r="D1301" s="1740" t="s">
        <v>1494</v>
      </c>
      <c r="E1301" s="1365">
        <v>3000</v>
      </c>
      <c r="F1301" s="1345">
        <f>E1301*C1301</f>
        <v>3015000</v>
      </c>
      <c r="G1301" s="1330"/>
    </row>
    <row r="1302" spans="1:12" ht="16.5" x14ac:dyDescent="0.25">
      <c r="A1302" s="1358"/>
      <c r="B1302" s="1366" t="s">
        <v>1492</v>
      </c>
      <c r="C1302" s="1343">
        <v>1</v>
      </c>
      <c r="D1302" s="1737" t="s">
        <v>843</v>
      </c>
      <c r="E1302" s="1365">
        <v>400000</v>
      </c>
      <c r="F1302" s="1345">
        <f>E1302*C1302</f>
        <v>400000</v>
      </c>
      <c r="G1302" s="1330"/>
    </row>
    <row r="1303" spans="1:12" ht="15.75" thickBot="1" x14ac:dyDescent="0.3">
      <c r="A1303" s="1338"/>
      <c r="B1303" s="1359"/>
      <c r="C1303" s="1360"/>
      <c r="D1303" s="1361"/>
      <c r="E1303" s="1362"/>
      <c r="F1303" s="1352"/>
      <c r="G1303" s="1330"/>
    </row>
    <row r="1304" spans="1:12" x14ac:dyDescent="0.25">
      <c r="A1304" s="1343"/>
      <c r="B1304" s="1845" t="s">
        <v>548</v>
      </c>
      <c r="C1304" s="1846"/>
      <c r="D1304" s="1846"/>
      <c r="E1304" s="1847"/>
      <c r="F1304" s="1341">
        <f>SUM(F1301:F1302)</f>
        <v>3415000</v>
      </c>
      <c r="G1304" s="1354"/>
    </row>
    <row r="1305" spans="1:12" ht="15.75" thickBot="1" x14ac:dyDescent="0.3">
      <c r="A1305" s="1343"/>
      <c r="B1305" s="1845" t="s">
        <v>26</v>
      </c>
      <c r="C1305" s="1846"/>
      <c r="D1305" s="1846"/>
      <c r="E1305" s="1847"/>
      <c r="F1305" s="1341"/>
      <c r="G1305" s="1354" t="s">
        <v>1845</v>
      </c>
      <c r="L1305" s="172"/>
    </row>
    <row r="1306" spans="1:12" x14ac:dyDescent="0.25">
      <c r="A1306" s="116"/>
      <c r="B1306" s="116"/>
      <c r="C1306" s="116"/>
      <c r="D1306" s="116"/>
      <c r="E1306" s="116"/>
      <c r="F1306" s="116"/>
      <c r="G1306" s="116"/>
    </row>
    <row r="1307" spans="1:12" x14ac:dyDescent="0.25">
      <c r="A1307" s="116"/>
      <c r="B1307" s="116"/>
      <c r="C1307" s="116"/>
      <c r="D1307" s="116"/>
      <c r="E1307" s="116"/>
      <c r="F1307" s="116"/>
      <c r="G1307" s="116"/>
    </row>
    <row r="1308" spans="1:12" x14ac:dyDescent="0.25">
      <c r="A1308" s="116"/>
      <c r="B1308" s="116"/>
      <c r="C1308" s="116"/>
      <c r="D1308" s="116"/>
      <c r="E1308" s="116"/>
      <c r="F1308" s="116"/>
      <c r="G1308" s="116"/>
    </row>
    <row r="1309" spans="1:12" x14ac:dyDescent="0.25">
      <c r="A1309" s="1852" t="s">
        <v>995</v>
      </c>
      <c r="B1309" s="1852"/>
      <c r="C1309" s="1852"/>
      <c r="D1309" s="1852"/>
      <c r="E1309" s="1852"/>
      <c r="F1309" s="1852"/>
      <c r="G1309" s="1852"/>
    </row>
    <row r="1310" spans="1:12" x14ac:dyDescent="0.25">
      <c r="A1310" s="1852" t="s">
        <v>1</v>
      </c>
      <c r="B1310" s="1852"/>
      <c r="C1310" s="1852"/>
      <c r="D1310" s="1852"/>
      <c r="E1310" s="1852"/>
      <c r="F1310" s="1852"/>
      <c r="G1310" s="1852"/>
    </row>
    <row r="1311" spans="1:12" x14ac:dyDescent="0.25">
      <c r="A1311" s="1852" t="s">
        <v>1425</v>
      </c>
      <c r="B1311" s="1852"/>
      <c r="C1311" s="1852"/>
      <c r="D1311" s="1852"/>
      <c r="E1311" s="1852"/>
      <c r="F1311" s="1852"/>
      <c r="G1311" s="1852"/>
    </row>
    <row r="1312" spans="1:12" x14ac:dyDescent="0.25">
      <c r="A1312" s="1307"/>
      <c r="B1312" s="1308"/>
      <c r="C1312" s="1309"/>
      <c r="D1312" s="1309"/>
      <c r="E1312" s="1310"/>
      <c r="F1312" s="1310"/>
      <c r="G1312" s="1310"/>
    </row>
    <row r="1313" spans="1:7" x14ac:dyDescent="0.25">
      <c r="A1313" s="1310" t="s">
        <v>1483</v>
      </c>
      <c r="B1313" s="1311"/>
      <c r="C1313" s="1312"/>
      <c r="D1313" s="1312"/>
      <c r="E1313" s="1313"/>
      <c r="F1313" s="1313"/>
      <c r="G1313" s="1310"/>
    </row>
    <row r="1314" spans="1:7" x14ac:dyDescent="0.25">
      <c r="A1314" s="1314" t="s">
        <v>712</v>
      </c>
      <c r="B1314" s="1315" t="s">
        <v>1504</v>
      </c>
      <c r="C1314" s="1312"/>
      <c r="D1314" s="1312"/>
      <c r="E1314" s="1313" t="s">
        <v>1484</v>
      </c>
      <c r="F1314" s="1313"/>
      <c r="G1314" s="1310"/>
    </row>
    <row r="1315" spans="1:7" ht="60" x14ac:dyDescent="0.25">
      <c r="A1315" s="1316" t="s">
        <v>749</v>
      </c>
      <c r="B1315" s="1317" t="s">
        <v>2343</v>
      </c>
      <c r="C1315" s="1312"/>
      <c r="D1315" s="1312"/>
      <c r="E1315" s="1313" t="s">
        <v>1485</v>
      </c>
      <c r="F1315" s="1313"/>
      <c r="G1315" s="1314"/>
    </row>
    <row r="1316" spans="1:7" ht="24" x14ac:dyDescent="0.25">
      <c r="A1316" s="1316" t="s">
        <v>1486</v>
      </c>
      <c r="B1316" s="1317" t="s">
        <v>2344</v>
      </c>
      <c r="C1316" s="1312"/>
      <c r="D1316" s="1312"/>
      <c r="E1316" s="1313"/>
      <c r="F1316" s="1313"/>
      <c r="G1316" s="1314"/>
    </row>
    <row r="1317" spans="1:7" x14ac:dyDescent="0.25">
      <c r="A1317" s="1310" t="s">
        <v>1487</v>
      </c>
      <c r="B1317" s="1311" t="s">
        <v>61</v>
      </c>
      <c r="C1317" s="1312"/>
      <c r="D1317" s="1312"/>
      <c r="E1317" s="1310"/>
      <c r="F1317" s="1310"/>
      <c r="G1317" s="1310"/>
    </row>
    <row r="1318" spans="1:7" x14ac:dyDescent="0.25">
      <c r="A1318" s="1314" t="s">
        <v>62</v>
      </c>
      <c r="B1318" s="1315" t="s">
        <v>63</v>
      </c>
      <c r="C1318" s="1312"/>
      <c r="D1318" s="1312"/>
      <c r="E1318" s="1314"/>
      <c r="F1318" s="1314"/>
      <c r="G1318" s="1314"/>
    </row>
    <row r="1319" spans="1:7" x14ac:dyDescent="0.25">
      <c r="A1319" s="1318"/>
      <c r="B1319" s="1319"/>
      <c r="C1319" s="1320"/>
      <c r="D1319" s="1320"/>
      <c r="E1319" s="1318"/>
      <c r="F1319" s="1318"/>
      <c r="G1319" s="1318"/>
    </row>
    <row r="1320" spans="1:7" ht="24" x14ac:dyDescent="0.25">
      <c r="A1320" s="1321" t="s">
        <v>30</v>
      </c>
      <c r="B1320" s="1321" t="s">
        <v>11</v>
      </c>
      <c r="C1320" s="1855" t="s">
        <v>12</v>
      </c>
      <c r="D1320" s="1856"/>
      <c r="E1320" s="1323" t="s">
        <v>13</v>
      </c>
      <c r="F1320" s="1322" t="s">
        <v>14</v>
      </c>
      <c r="G1320" s="1324" t="s">
        <v>266</v>
      </c>
    </row>
    <row r="1321" spans="1:7" x14ac:dyDescent="0.25">
      <c r="A1321" s="1325">
        <v>1</v>
      </c>
      <c r="B1321" s="1326">
        <v>2</v>
      </c>
      <c r="C1321" s="1853">
        <v>3</v>
      </c>
      <c r="D1321" s="1854"/>
      <c r="E1321" s="1329">
        <v>4</v>
      </c>
      <c r="F1321" s="1327">
        <v>5</v>
      </c>
      <c r="G1321" s="1330">
        <v>7</v>
      </c>
    </row>
    <row r="1322" spans="1:7" x14ac:dyDescent="0.25">
      <c r="A1322" s="1427" t="s">
        <v>2714</v>
      </c>
      <c r="B1322" s="1536" t="s">
        <v>287</v>
      </c>
      <c r="C1322" s="1327"/>
      <c r="D1322" s="1328"/>
      <c r="E1322" s="1329"/>
      <c r="F1322" s="1327"/>
      <c r="G1322" s="1330"/>
    </row>
    <row r="1323" spans="1:7" ht="24" x14ac:dyDescent="0.25">
      <c r="A1323" s="1331" t="s">
        <v>2715</v>
      </c>
      <c r="B1323" s="1332" t="s">
        <v>485</v>
      </c>
      <c r="C1323" s="1333"/>
      <c r="D1323" s="1334"/>
      <c r="E1323" s="1335"/>
      <c r="F1323" s="1336"/>
      <c r="G1323" s="1330"/>
    </row>
    <row r="1324" spans="1:7" ht="24" x14ac:dyDescent="0.25">
      <c r="A1324" s="1331" t="s">
        <v>2716</v>
      </c>
      <c r="B1324" s="1332" t="s">
        <v>2713</v>
      </c>
      <c r="C1324" s="1333"/>
      <c r="D1324" s="1334"/>
      <c r="E1324" s="1335"/>
      <c r="F1324" s="1336"/>
      <c r="G1324" s="1330"/>
    </row>
    <row r="1325" spans="1:7" ht="15.75" thickBot="1" x14ac:dyDescent="0.3">
      <c r="A1325" s="1338"/>
      <c r="B1325" s="1339" t="s">
        <v>2248</v>
      </c>
      <c r="C1325" s="1337">
        <v>1</v>
      </c>
      <c r="D1325" s="1334" t="s">
        <v>473</v>
      </c>
      <c r="E1325" s="1335">
        <v>25540</v>
      </c>
      <c r="F1325" s="1336">
        <f>E1325*C1325</f>
        <v>25540</v>
      </c>
      <c r="G1325" s="1330"/>
    </row>
    <row r="1326" spans="1:7" ht="15.75" thickBot="1" x14ac:dyDescent="0.3">
      <c r="A1326" s="1340"/>
      <c r="B1326" s="1845" t="s">
        <v>548</v>
      </c>
      <c r="C1326" s="1846"/>
      <c r="D1326" s="1846"/>
      <c r="E1326" s="1847"/>
      <c r="F1326" s="1341">
        <f>SUM(F1325:F1325)</f>
        <v>25540</v>
      </c>
      <c r="G1326" s="1330"/>
    </row>
    <row r="1327" spans="1:7" x14ac:dyDescent="0.25">
      <c r="A1327" s="1331"/>
      <c r="B1327" s="1355" t="s">
        <v>1491</v>
      </c>
      <c r="C1327" s="1343"/>
      <c r="D1327" s="1344"/>
      <c r="E1327" s="1340"/>
      <c r="F1327" s="1345"/>
      <c r="G1327" s="1330"/>
    </row>
    <row r="1328" spans="1:7" ht="16.5" x14ac:dyDescent="0.25">
      <c r="A1328" s="1358"/>
      <c r="B1328" s="1364" t="s">
        <v>2253</v>
      </c>
      <c r="C1328" s="1343">
        <v>37</v>
      </c>
      <c r="D1328" s="1740" t="s">
        <v>1494</v>
      </c>
      <c r="E1328" s="1365">
        <v>3000</v>
      </c>
      <c r="F1328" s="1345">
        <f>E1328*C1328</f>
        <v>111000</v>
      </c>
      <c r="G1328" s="1330"/>
    </row>
    <row r="1329" spans="1:12" ht="16.5" x14ac:dyDescent="0.25">
      <c r="A1329" s="1358"/>
      <c r="B1329" s="1366" t="s">
        <v>1492</v>
      </c>
      <c r="C1329" s="1343">
        <v>1</v>
      </c>
      <c r="D1329" s="1737" t="s">
        <v>843</v>
      </c>
      <c r="E1329" s="1365">
        <v>400000</v>
      </c>
      <c r="F1329" s="1345">
        <f>E1329*C1329</f>
        <v>400000</v>
      </c>
      <c r="G1329" s="1330"/>
    </row>
    <row r="1330" spans="1:12" ht="15.75" thickBot="1" x14ac:dyDescent="0.3">
      <c r="A1330" s="1338"/>
      <c r="B1330" s="1359"/>
      <c r="C1330" s="1360"/>
      <c r="D1330" s="1361"/>
      <c r="E1330" s="1362"/>
      <c r="F1330" s="1352"/>
      <c r="G1330" s="1330"/>
    </row>
    <row r="1331" spans="1:12" ht="15.75" thickBot="1" x14ac:dyDescent="0.3">
      <c r="A1331" s="1343"/>
      <c r="B1331" s="1845" t="s">
        <v>548</v>
      </c>
      <c r="C1331" s="1846"/>
      <c r="D1331" s="1846"/>
      <c r="E1331" s="1847"/>
      <c r="F1331" s="1341">
        <f>SUM(F1328:F1329)</f>
        <v>511000</v>
      </c>
      <c r="G1331" s="1354"/>
    </row>
    <row r="1332" spans="1:12" ht="15.75" thickBot="1" x14ac:dyDescent="0.3">
      <c r="A1332" s="1343"/>
      <c r="B1332" s="1845" t="s">
        <v>26</v>
      </c>
      <c r="C1332" s="1846"/>
      <c r="D1332" s="1846"/>
      <c r="E1332" s="1847"/>
      <c r="F1332" s="1341"/>
      <c r="G1332" s="1354" t="s">
        <v>1845</v>
      </c>
      <c r="L1332" s="172"/>
    </row>
    <row r="1333" spans="1:12" x14ac:dyDescent="0.25">
      <c r="A1333" s="116"/>
      <c r="B1333" s="116"/>
      <c r="C1333" s="116"/>
      <c r="D1333" s="116"/>
      <c r="E1333" s="116"/>
      <c r="F1333" s="116"/>
      <c r="G1333" s="116"/>
    </row>
    <row r="1334" spans="1:12" x14ac:dyDescent="0.25">
      <c r="A1334" s="116"/>
      <c r="B1334" s="116"/>
      <c r="C1334" s="116"/>
      <c r="D1334" s="116"/>
      <c r="E1334" s="116"/>
      <c r="F1334" s="116"/>
      <c r="G1334" s="116"/>
    </row>
    <row r="1335" spans="1:12" x14ac:dyDescent="0.25">
      <c r="A1335" s="1852" t="s">
        <v>995</v>
      </c>
      <c r="B1335" s="1852"/>
      <c r="C1335" s="1852"/>
      <c r="D1335" s="1852"/>
      <c r="E1335" s="1852"/>
      <c r="F1335" s="1852"/>
      <c r="G1335" s="1852"/>
    </row>
    <row r="1336" spans="1:12" x14ac:dyDescent="0.25">
      <c r="A1336" s="1852" t="s">
        <v>1</v>
      </c>
      <c r="B1336" s="1852"/>
      <c r="C1336" s="1852"/>
      <c r="D1336" s="1852"/>
      <c r="E1336" s="1852"/>
      <c r="F1336" s="1852"/>
      <c r="G1336" s="1852"/>
    </row>
    <row r="1337" spans="1:12" x14ac:dyDescent="0.25">
      <c r="A1337" s="1852" t="s">
        <v>1425</v>
      </c>
      <c r="B1337" s="1852"/>
      <c r="C1337" s="1852"/>
      <c r="D1337" s="1852"/>
      <c r="E1337" s="1852"/>
      <c r="F1337" s="1852"/>
      <c r="G1337" s="1852"/>
    </row>
    <row r="1338" spans="1:12" x14ac:dyDescent="0.25">
      <c r="A1338" s="1307"/>
      <c r="B1338" s="1308"/>
      <c r="C1338" s="1309"/>
      <c r="D1338" s="1309"/>
      <c r="E1338" s="1310"/>
      <c r="F1338" s="1310"/>
      <c r="G1338" s="1310"/>
    </row>
    <row r="1339" spans="1:12" x14ac:dyDescent="0.25">
      <c r="A1339" s="1310" t="s">
        <v>1483</v>
      </c>
      <c r="B1339" s="1311"/>
      <c r="C1339" s="1312"/>
      <c r="D1339" s="1312"/>
      <c r="E1339" s="1313"/>
      <c r="F1339" s="1313"/>
      <c r="G1339" s="1310"/>
    </row>
    <row r="1340" spans="1:12" x14ac:dyDescent="0.25">
      <c r="A1340" s="1314" t="s">
        <v>712</v>
      </c>
      <c r="B1340" s="1315" t="s">
        <v>1504</v>
      </c>
      <c r="C1340" s="1312"/>
      <c r="D1340" s="1312"/>
      <c r="E1340" s="1313" t="s">
        <v>1484</v>
      </c>
      <c r="F1340" s="1313"/>
      <c r="G1340" s="1310"/>
    </row>
    <row r="1341" spans="1:12" ht="60" x14ac:dyDescent="0.25">
      <c r="A1341" s="1316" t="s">
        <v>749</v>
      </c>
      <c r="B1341" s="1317" t="s">
        <v>2345</v>
      </c>
      <c r="C1341" s="1312"/>
      <c r="D1341" s="1312"/>
      <c r="E1341" s="1313" t="s">
        <v>1485</v>
      </c>
      <c r="F1341" s="1313"/>
      <c r="G1341" s="1314"/>
    </row>
    <row r="1342" spans="1:12" ht="24" x14ac:dyDescent="0.25">
      <c r="A1342" s="1316" t="s">
        <v>1486</v>
      </c>
      <c r="B1342" s="1317" t="s">
        <v>2346</v>
      </c>
      <c r="C1342" s="1312"/>
      <c r="D1342" s="1312"/>
      <c r="E1342" s="1313"/>
      <c r="F1342" s="1313"/>
      <c r="G1342" s="1314"/>
    </row>
    <row r="1343" spans="1:12" x14ac:dyDescent="0.25">
      <c r="A1343" s="1310" t="s">
        <v>1487</v>
      </c>
      <c r="B1343" s="1311" t="s">
        <v>61</v>
      </c>
      <c r="C1343" s="1312"/>
      <c r="D1343" s="1312"/>
      <c r="E1343" s="1310"/>
      <c r="F1343" s="1310"/>
      <c r="G1343" s="1310"/>
    </row>
    <row r="1344" spans="1:12" x14ac:dyDescent="0.25">
      <c r="A1344" s="1314" t="s">
        <v>62</v>
      </c>
      <c r="B1344" s="1315" t="s">
        <v>63</v>
      </c>
      <c r="C1344" s="1312"/>
      <c r="D1344" s="1312"/>
      <c r="E1344" s="1314"/>
      <c r="F1344" s="1314"/>
      <c r="G1344" s="1314"/>
    </row>
    <row r="1345" spans="1:12" x14ac:dyDescent="0.25">
      <c r="A1345" s="1318"/>
      <c r="B1345" s="1319"/>
      <c r="C1345" s="1320"/>
      <c r="D1345" s="1320"/>
      <c r="E1345" s="1318"/>
      <c r="F1345" s="1318"/>
      <c r="G1345" s="1318"/>
    </row>
    <row r="1346" spans="1:12" ht="24" x14ac:dyDescent="0.25">
      <c r="A1346" s="1321" t="s">
        <v>30</v>
      </c>
      <c r="B1346" s="1321" t="s">
        <v>11</v>
      </c>
      <c r="C1346" s="1855" t="s">
        <v>12</v>
      </c>
      <c r="D1346" s="1856"/>
      <c r="E1346" s="1323" t="s">
        <v>13</v>
      </c>
      <c r="F1346" s="1322" t="s">
        <v>14</v>
      </c>
      <c r="G1346" s="1324" t="s">
        <v>266</v>
      </c>
    </row>
    <row r="1347" spans="1:12" x14ac:dyDescent="0.25">
      <c r="A1347" s="1325">
        <v>1</v>
      </c>
      <c r="B1347" s="1326">
        <v>2</v>
      </c>
      <c r="C1347" s="1853">
        <v>3</v>
      </c>
      <c r="D1347" s="1854"/>
      <c r="E1347" s="1329">
        <v>4</v>
      </c>
      <c r="F1347" s="1327">
        <v>5</v>
      </c>
      <c r="G1347" s="1330">
        <v>7</v>
      </c>
    </row>
    <row r="1348" spans="1:12" x14ac:dyDescent="0.25">
      <c r="A1348" s="1331" t="s">
        <v>2244</v>
      </c>
      <c r="B1348" s="1332" t="s">
        <v>1505</v>
      </c>
      <c r="C1348" s="1333"/>
      <c r="D1348" s="1334"/>
      <c r="E1348" s="1335"/>
      <c r="F1348" s="1336"/>
      <c r="G1348" s="1330"/>
    </row>
    <row r="1349" spans="1:12" x14ac:dyDescent="0.25">
      <c r="A1349" s="1331" t="s">
        <v>2245</v>
      </c>
      <c r="B1349" s="1332" t="s">
        <v>2246</v>
      </c>
      <c r="C1349" s="1333"/>
      <c r="D1349" s="1334"/>
      <c r="E1349" s="1335"/>
      <c r="F1349" s="1336"/>
      <c r="G1349" s="1330"/>
    </row>
    <row r="1350" spans="1:12" ht="24" x14ac:dyDescent="0.25">
      <c r="A1350" s="1331" t="s">
        <v>2247</v>
      </c>
      <c r="B1350" s="1332" t="s">
        <v>1499</v>
      </c>
      <c r="C1350" s="1337"/>
      <c r="D1350" s="1334"/>
      <c r="E1350" s="1335"/>
      <c r="F1350" s="1336"/>
      <c r="G1350" s="1330"/>
    </row>
    <row r="1351" spans="1:12" ht="15.75" thickBot="1" x14ac:dyDescent="0.3">
      <c r="A1351" s="1338"/>
      <c r="B1351" s="1339" t="s">
        <v>2248</v>
      </c>
      <c r="C1351" s="1337">
        <v>1</v>
      </c>
      <c r="D1351" s="1334" t="s">
        <v>473</v>
      </c>
      <c r="E1351" s="1335">
        <v>10400</v>
      </c>
      <c r="F1351" s="1336">
        <f>E1351*C1351</f>
        <v>10400</v>
      </c>
      <c r="G1351" s="1330"/>
    </row>
    <row r="1352" spans="1:12" ht="15.75" thickBot="1" x14ac:dyDescent="0.3">
      <c r="A1352" s="1340"/>
      <c r="B1352" s="1845" t="s">
        <v>548</v>
      </c>
      <c r="C1352" s="1846"/>
      <c r="D1352" s="1846"/>
      <c r="E1352" s="1847"/>
      <c r="F1352" s="1341">
        <f>SUM(F1351:F1351)</f>
        <v>10400</v>
      </c>
      <c r="G1352" s="1330"/>
    </row>
    <row r="1353" spans="1:12" x14ac:dyDescent="0.25">
      <c r="A1353" s="1331" t="s">
        <v>2249</v>
      </c>
      <c r="B1353" s="1342" t="s">
        <v>1488</v>
      </c>
      <c r="C1353" s="1343"/>
      <c r="D1353" s="1344"/>
      <c r="E1353" s="1340"/>
      <c r="F1353" s="1345"/>
      <c r="G1353" s="1330"/>
    </row>
    <row r="1354" spans="1:12" ht="15.75" thickBot="1" x14ac:dyDescent="0.3">
      <c r="A1354" s="1363"/>
      <c r="B1354" s="1348" t="s">
        <v>1490</v>
      </c>
      <c r="C1354" s="1349">
        <v>4</v>
      </c>
      <c r="D1354" s="1350" t="s">
        <v>419</v>
      </c>
      <c r="E1354" s="1351">
        <v>130000</v>
      </c>
      <c r="F1354" s="1352">
        <f>E1354*C1354</f>
        <v>520000</v>
      </c>
      <c r="G1354" s="1706"/>
    </row>
    <row r="1355" spans="1:12" ht="15.75" thickBot="1" x14ac:dyDescent="0.3">
      <c r="A1355" s="1353"/>
      <c r="B1355" s="1842" t="s">
        <v>548</v>
      </c>
      <c r="C1355" s="1843"/>
      <c r="D1355" s="1843"/>
      <c r="E1355" s="1857"/>
      <c r="F1355" s="1701">
        <f>SUM(F1354:F1354)</f>
        <v>520000</v>
      </c>
      <c r="G1355" s="1708"/>
    </row>
    <row r="1356" spans="1:12" ht="15.75" thickBot="1" x14ac:dyDescent="0.3">
      <c r="A1356" s="1343"/>
      <c r="B1356" s="1845"/>
      <c r="C1356" s="1846"/>
      <c r="D1356" s="1846"/>
      <c r="E1356" s="1847"/>
      <c r="F1356" s="1341"/>
      <c r="G1356" s="1354"/>
    </row>
    <row r="1357" spans="1:12" ht="15.75" thickBot="1" x14ac:dyDescent="0.3">
      <c r="A1357" s="1343"/>
      <c r="B1357" s="1845" t="s">
        <v>26</v>
      </c>
      <c r="C1357" s="1846"/>
      <c r="D1357" s="1846"/>
      <c r="E1357" s="1847"/>
      <c r="F1357" s="1341"/>
      <c r="G1357" s="1354"/>
      <c r="L1357" s="172"/>
    </row>
    <row r="1358" spans="1:12" x14ac:dyDescent="0.25">
      <c r="A1358" s="116"/>
      <c r="B1358" s="116"/>
      <c r="C1358" s="116"/>
      <c r="D1358" s="116"/>
      <c r="E1358" s="116"/>
      <c r="F1358" s="116"/>
      <c r="G1358" s="116"/>
    </row>
    <row r="1359" spans="1:12" x14ac:dyDescent="0.25">
      <c r="A1359" s="116"/>
      <c r="B1359" s="116"/>
      <c r="C1359" s="116"/>
      <c r="D1359" s="116"/>
      <c r="E1359" s="116"/>
      <c r="F1359" s="116"/>
      <c r="G1359" s="116"/>
    </row>
    <row r="1360" spans="1:12" x14ac:dyDescent="0.25">
      <c r="A1360" s="1852" t="s">
        <v>995</v>
      </c>
      <c r="B1360" s="1852"/>
      <c r="C1360" s="1852"/>
      <c r="D1360" s="1852"/>
      <c r="E1360" s="1852"/>
      <c r="F1360" s="1852"/>
      <c r="G1360" s="1852"/>
    </row>
    <row r="1361" spans="1:7" x14ac:dyDescent="0.25">
      <c r="A1361" s="1852" t="s">
        <v>1</v>
      </c>
      <c r="B1361" s="1852"/>
      <c r="C1361" s="1852"/>
      <c r="D1361" s="1852"/>
      <c r="E1361" s="1852"/>
      <c r="F1361" s="1852"/>
      <c r="G1361" s="1852"/>
    </row>
    <row r="1362" spans="1:7" x14ac:dyDescent="0.25">
      <c r="A1362" s="1852" t="s">
        <v>1425</v>
      </c>
      <c r="B1362" s="1852"/>
      <c r="C1362" s="1852"/>
      <c r="D1362" s="1852"/>
      <c r="E1362" s="1852"/>
      <c r="F1362" s="1852"/>
      <c r="G1362" s="1852"/>
    </row>
    <row r="1363" spans="1:7" x14ac:dyDescent="0.25">
      <c r="A1363" s="1307"/>
      <c r="B1363" s="1308"/>
      <c r="C1363" s="1309"/>
      <c r="D1363" s="1309"/>
      <c r="E1363" s="1310"/>
      <c r="F1363" s="1310"/>
      <c r="G1363" s="1310"/>
    </row>
    <row r="1364" spans="1:7" x14ac:dyDescent="0.25">
      <c r="A1364" s="1310" t="s">
        <v>1483</v>
      </c>
      <c r="B1364" s="1311"/>
      <c r="C1364" s="1312"/>
      <c r="D1364" s="1312"/>
      <c r="E1364" s="1313"/>
      <c r="F1364" s="1313"/>
      <c r="G1364" s="1310"/>
    </row>
    <row r="1365" spans="1:7" x14ac:dyDescent="0.25">
      <c r="A1365" s="1314" t="s">
        <v>712</v>
      </c>
      <c r="B1365" s="1315" t="s">
        <v>1504</v>
      </c>
      <c r="C1365" s="1312"/>
      <c r="D1365" s="1312"/>
      <c r="E1365" s="1313" t="s">
        <v>1484</v>
      </c>
      <c r="F1365" s="1313"/>
      <c r="G1365" s="1310"/>
    </row>
    <row r="1366" spans="1:7" ht="60" x14ac:dyDescent="0.25">
      <c r="A1366" s="1316" t="s">
        <v>749</v>
      </c>
      <c r="B1366" s="1317" t="s">
        <v>2347</v>
      </c>
      <c r="C1366" s="1312"/>
      <c r="D1366" s="1312"/>
      <c r="E1366" s="1313" t="s">
        <v>1485</v>
      </c>
      <c r="F1366" s="1313"/>
      <c r="G1366" s="1314"/>
    </row>
    <row r="1367" spans="1:7" ht="24" x14ac:dyDescent="0.25">
      <c r="A1367" s="1316" t="s">
        <v>1486</v>
      </c>
      <c r="B1367" s="1317" t="s">
        <v>2348</v>
      </c>
      <c r="C1367" s="1312"/>
      <c r="D1367" s="1312"/>
      <c r="E1367" s="1313"/>
      <c r="F1367" s="1313"/>
      <c r="G1367" s="1314"/>
    </row>
    <row r="1368" spans="1:7" x14ac:dyDescent="0.25">
      <c r="A1368" s="1310" t="s">
        <v>1487</v>
      </c>
      <c r="B1368" s="1311" t="s">
        <v>61</v>
      </c>
      <c r="C1368" s="1312"/>
      <c r="D1368" s="1312"/>
      <c r="E1368" s="1310"/>
      <c r="F1368" s="1310"/>
      <c r="G1368" s="1310"/>
    </row>
    <row r="1369" spans="1:7" x14ac:dyDescent="0.25">
      <c r="A1369" s="1314" t="s">
        <v>62</v>
      </c>
      <c r="B1369" s="1315" t="s">
        <v>63</v>
      </c>
      <c r="C1369" s="1312"/>
      <c r="D1369" s="1312"/>
      <c r="E1369" s="1314"/>
      <c r="F1369" s="1314"/>
      <c r="G1369" s="1314"/>
    </row>
    <row r="1370" spans="1:7" x14ac:dyDescent="0.25">
      <c r="A1370" s="1318"/>
      <c r="B1370" s="1319"/>
      <c r="C1370" s="1320"/>
      <c r="D1370" s="1320"/>
      <c r="E1370" s="1318"/>
      <c r="F1370" s="1318"/>
      <c r="G1370" s="1318"/>
    </row>
    <row r="1371" spans="1:7" ht="24" x14ac:dyDescent="0.25">
      <c r="A1371" s="1321" t="s">
        <v>30</v>
      </c>
      <c r="B1371" s="1321" t="s">
        <v>11</v>
      </c>
      <c r="C1371" s="1855" t="s">
        <v>12</v>
      </c>
      <c r="D1371" s="1856"/>
      <c r="E1371" s="1323" t="s">
        <v>13</v>
      </c>
      <c r="F1371" s="1322" t="s">
        <v>14</v>
      </c>
      <c r="G1371" s="1324" t="s">
        <v>266</v>
      </c>
    </row>
    <row r="1372" spans="1:7" x14ac:dyDescent="0.25">
      <c r="A1372" s="1325">
        <v>1</v>
      </c>
      <c r="B1372" s="1326">
        <v>2</v>
      </c>
      <c r="C1372" s="1853">
        <v>3</v>
      </c>
      <c r="D1372" s="1854"/>
      <c r="E1372" s="1329">
        <v>4</v>
      </c>
      <c r="F1372" s="1327">
        <v>5</v>
      </c>
      <c r="G1372" s="1330">
        <v>7</v>
      </c>
    </row>
    <row r="1373" spans="1:7" x14ac:dyDescent="0.25">
      <c r="A1373" s="1427" t="s">
        <v>2714</v>
      </c>
      <c r="B1373" s="1536" t="s">
        <v>287</v>
      </c>
      <c r="C1373" s="1327"/>
      <c r="D1373" s="1328"/>
      <c r="E1373" s="1329"/>
      <c r="F1373" s="1327"/>
      <c r="G1373" s="1330"/>
    </row>
    <row r="1374" spans="1:7" ht="24" x14ac:dyDescent="0.25">
      <c r="A1374" s="1331" t="s">
        <v>2715</v>
      </c>
      <c r="B1374" s="1332" t="s">
        <v>485</v>
      </c>
      <c r="C1374" s="1333"/>
      <c r="D1374" s="1334"/>
      <c r="E1374" s="1335"/>
      <c r="F1374" s="1336"/>
      <c r="G1374" s="1330"/>
    </row>
    <row r="1375" spans="1:7" ht="24" x14ac:dyDescent="0.25">
      <c r="A1375" s="1331" t="s">
        <v>2716</v>
      </c>
      <c r="B1375" s="1332" t="s">
        <v>2713</v>
      </c>
      <c r="C1375" s="1333"/>
      <c r="D1375" s="1334"/>
      <c r="E1375" s="1335"/>
      <c r="F1375" s="1336"/>
      <c r="G1375" s="1330"/>
    </row>
    <row r="1376" spans="1:7" ht="15.75" thickBot="1" x14ac:dyDescent="0.3">
      <c r="A1376" s="1338"/>
      <c r="B1376" s="1339" t="s">
        <v>2248</v>
      </c>
      <c r="C1376" s="1337">
        <v>1</v>
      </c>
      <c r="D1376" s="1334" t="s">
        <v>473</v>
      </c>
      <c r="E1376" s="1335">
        <v>188480</v>
      </c>
      <c r="F1376" s="1336">
        <f>E1376*C1376</f>
        <v>188480</v>
      </c>
      <c r="G1376" s="1330"/>
    </row>
    <row r="1377" spans="1:12" ht="15.75" thickBot="1" x14ac:dyDescent="0.3">
      <c r="A1377" s="1340"/>
      <c r="B1377" s="1845" t="s">
        <v>548</v>
      </c>
      <c r="C1377" s="1846"/>
      <c r="D1377" s="1846"/>
      <c r="E1377" s="1847"/>
      <c r="F1377" s="1341">
        <f>SUM(F1376:F1376)</f>
        <v>188480</v>
      </c>
      <c r="G1377" s="1330"/>
    </row>
    <row r="1378" spans="1:12" x14ac:dyDescent="0.25">
      <c r="A1378" s="1331"/>
      <c r="B1378" s="1355" t="s">
        <v>1491</v>
      </c>
      <c r="C1378" s="1343"/>
      <c r="D1378" s="1344"/>
      <c r="E1378" s="1340"/>
      <c r="F1378" s="1345"/>
      <c r="G1378" s="1330"/>
    </row>
    <row r="1379" spans="1:12" ht="16.5" x14ac:dyDescent="0.25">
      <c r="A1379" s="1358"/>
      <c r="B1379" s="1364" t="s">
        <v>2253</v>
      </c>
      <c r="C1379" s="1343">
        <v>661</v>
      </c>
      <c r="D1379" s="1740" t="s">
        <v>1494</v>
      </c>
      <c r="E1379" s="1365">
        <v>3000</v>
      </c>
      <c r="F1379" s="1345">
        <f>E1379*C1379</f>
        <v>1983000</v>
      </c>
      <c r="G1379" s="1330"/>
    </row>
    <row r="1380" spans="1:12" ht="16.5" x14ac:dyDescent="0.25">
      <c r="A1380" s="1358"/>
      <c r="B1380" s="1366" t="s">
        <v>2266</v>
      </c>
      <c r="C1380" s="1343">
        <v>1</v>
      </c>
      <c r="D1380" s="1740" t="s">
        <v>843</v>
      </c>
      <c r="E1380" s="1365">
        <v>325000</v>
      </c>
      <c r="F1380" s="1345">
        <f>E1380*C1380</f>
        <v>325000</v>
      </c>
      <c r="G1380" s="1330"/>
    </row>
    <row r="1381" spans="1:12" ht="16.5" x14ac:dyDescent="0.25">
      <c r="A1381" s="1358"/>
      <c r="B1381" s="1364" t="s">
        <v>2267</v>
      </c>
      <c r="C1381" s="1343">
        <v>1</v>
      </c>
      <c r="D1381" s="1740" t="s">
        <v>843</v>
      </c>
      <c r="E1381" s="1365">
        <v>350000</v>
      </c>
      <c r="F1381" s="1345">
        <f>E1381*C1381</f>
        <v>350000</v>
      </c>
      <c r="G1381" s="1330"/>
    </row>
    <row r="1382" spans="1:12" x14ac:dyDescent="0.25">
      <c r="A1382" s="1338"/>
      <c r="B1382" s="1359"/>
      <c r="C1382" s="1360"/>
      <c r="D1382" s="1361"/>
      <c r="E1382" s="1362"/>
      <c r="F1382" s="1352"/>
      <c r="G1382" s="1330"/>
    </row>
    <row r="1383" spans="1:12" ht="15.75" thickBot="1" x14ac:dyDescent="0.3">
      <c r="A1383" s="1343"/>
      <c r="B1383" s="1845" t="s">
        <v>548</v>
      </c>
      <c r="C1383" s="1846"/>
      <c r="D1383" s="1846"/>
      <c r="E1383" s="1847"/>
      <c r="F1383" s="1341">
        <f>SUM(F1379:F1381)</f>
        <v>2658000</v>
      </c>
      <c r="G1383" s="1354"/>
    </row>
    <row r="1384" spans="1:12" ht="15.75" thickBot="1" x14ac:dyDescent="0.3">
      <c r="A1384" s="1343"/>
      <c r="B1384" s="1845" t="s">
        <v>26</v>
      </c>
      <c r="C1384" s="1846"/>
      <c r="D1384" s="1846"/>
      <c r="E1384" s="1847"/>
      <c r="F1384" s="1341"/>
      <c r="G1384" s="1354" t="s">
        <v>1845</v>
      </c>
      <c r="L1384" s="172"/>
    </row>
    <row r="1385" spans="1:12" x14ac:dyDescent="0.25">
      <c r="A1385" s="116"/>
      <c r="B1385" s="116"/>
      <c r="C1385" s="116"/>
      <c r="D1385" s="116"/>
      <c r="E1385" s="116"/>
      <c r="F1385" s="116"/>
      <c r="G1385" s="116"/>
    </row>
    <row r="1386" spans="1:12" x14ac:dyDescent="0.25">
      <c r="A1386" s="116"/>
      <c r="B1386" s="116"/>
      <c r="C1386" s="116"/>
      <c r="D1386" s="116"/>
      <c r="E1386" s="116"/>
      <c r="F1386" s="116"/>
      <c r="G1386" s="116"/>
    </row>
    <row r="1387" spans="1:12" x14ac:dyDescent="0.25">
      <c r="A1387" s="116"/>
      <c r="B1387" s="116"/>
      <c r="C1387" s="116"/>
      <c r="D1387" s="116"/>
      <c r="E1387" s="116"/>
      <c r="F1387" s="116"/>
      <c r="G1387" s="116"/>
    </row>
    <row r="1388" spans="1:12" x14ac:dyDescent="0.25">
      <c r="A1388" s="1852" t="s">
        <v>995</v>
      </c>
      <c r="B1388" s="1852"/>
      <c r="C1388" s="1852"/>
      <c r="D1388" s="1852"/>
      <c r="E1388" s="1852"/>
      <c r="F1388" s="1852"/>
      <c r="G1388" s="1852"/>
    </row>
    <row r="1389" spans="1:12" x14ac:dyDescent="0.25">
      <c r="A1389" s="1852" t="s">
        <v>1</v>
      </c>
      <c r="B1389" s="1852"/>
      <c r="C1389" s="1852"/>
      <c r="D1389" s="1852"/>
      <c r="E1389" s="1852"/>
      <c r="F1389" s="1852"/>
      <c r="G1389" s="1852"/>
    </row>
    <row r="1390" spans="1:12" x14ac:dyDescent="0.25">
      <c r="A1390" s="1852" t="s">
        <v>1425</v>
      </c>
      <c r="B1390" s="1852"/>
      <c r="C1390" s="1852"/>
      <c r="D1390" s="1852"/>
      <c r="E1390" s="1852"/>
      <c r="F1390" s="1852"/>
      <c r="G1390" s="1852"/>
    </row>
    <row r="1391" spans="1:12" x14ac:dyDescent="0.25">
      <c r="A1391" s="1307"/>
      <c r="B1391" s="1308"/>
      <c r="C1391" s="1309"/>
      <c r="D1391" s="1309"/>
      <c r="E1391" s="1310"/>
      <c r="F1391" s="1310"/>
      <c r="G1391" s="1310"/>
    </row>
    <row r="1392" spans="1:12" x14ac:dyDescent="0.25">
      <c r="A1392" s="1310" t="s">
        <v>1483</v>
      </c>
      <c r="B1392" s="1311"/>
      <c r="C1392" s="1312"/>
      <c r="D1392" s="1312"/>
      <c r="E1392" s="1313"/>
      <c r="F1392" s="1313"/>
      <c r="G1392" s="1310"/>
    </row>
    <row r="1393" spans="1:7" x14ac:dyDescent="0.25">
      <c r="A1393" s="1314" t="s">
        <v>712</v>
      </c>
      <c r="B1393" s="1315" t="s">
        <v>1504</v>
      </c>
      <c r="C1393" s="1312"/>
      <c r="D1393" s="1312"/>
      <c r="E1393" s="1313" t="s">
        <v>1484</v>
      </c>
      <c r="F1393" s="1313"/>
      <c r="G1393" s="1310"/>
    </row>
    <row r="1394" spans="1:7" ht="60" x14ac:dyDescent="0.25">
      <c r="A1394" s="1316" t="s">
        <v>749</v>
      </c>
      <c r="B1394" s="1317" t="s">
        <v>2349</v>
      </c>
      <c r="C1394" s="1312"/>
      <c r="D1394" s="1312"/>
      <c r="E1394" s="1313" t="s">
        <v>1485</v>
      </c>
      <c r="F1394" s="1313"/>
      <c r="G1394" s="1314"/>
    </row>
    <row r="1395" spans="1:7" ht="24" x14ac:dyDescent="0.25">
      <c r="A1395" s="1316" t="s">
        <v>1486</v>
      </c>
      <c r="B1395" s="1317" t="s">
        <v>2350</v>
      </c>
      <c r="C1395" s="1312"/>
      <c r="D1395" s="1312"/>
      <c r="E1395" s="1313"/>
      <c r="F1395" s="1313"/>
      <c r="G1395" s="1314"/>
    </row>
    <row r="1396" spans="1:7" x14ac:dyDescent="0.25">
      <c r="A1396" s="1310" t="s">
        <v>1487</v>
      </c>
      <c r="B1396" s="1311" t="s">
        <v>61</v>
      </c>
      <c r="C1396" s="1312"/>
      <c r="D1396" s="1312"/>
      <c r="E1396" s="1310"/>
      <c r="F1396" s="1310"/>
      <c r="G1396" s="1310"/>
    </row>
    <row r="1397" spans="1:7" x14ac:dyDescent="0.25">
      <c r="A1397" s="1314" t="s">
        <v>62</v>
      </c>
      <c r="B1397" s="1315" t="s">
        <v>63</v>
      </c>
      <c r="C1397" s="1312"/>
      <c r="D1397" s="1312"/>
      <c r="E1397" s="1314"/>
      <c r="F1397" s="1314"/>
      <c r="G1397" s="1314"/>
    </row>
    <row r="1398" spans="1:7" x14ac:dyDescent="0.25">
      <c r="A1398" s="1318"/>
      <c r="B1398" s="1319"/>
      <c r="C1398" s="1320"/>
      <c r="D1398" s="1320"/>
      <c r="E1398" s="1318"/>
      <c r="F1398" s="1318"/>
      <c r="G1398" s="1318"/>
    </row>
    <row r="1399" spans="1:7" ht="24" x14ac:dyDescent="0.25">
      <c r="A1399" s="1321" t="s">
        <v>30</v>
      </c>
      <c r="B1399" s="1321" t="s">
        <v>11</v>
      </c>
      <c r="C1399" s="1855" t="s">
        <v>12</v>
      </c>
      <c r="D1399" s="1856"/>
      <c r="E1399" s="1323" t="s">
        <v>13</v>
      </c>
      <c r="F1399" s="1322" t="s">
        <v>14</v>
      </c>
      <c r="G1399" s="1324" t="s">
        <v>266</v>
      </c>
    </row>
    <row r="1400" spans="1:7" x14ac:dyDescent="0.25">
      <c r="A1400" s="1325">
        <v>1</v>
      </c>
      <c r="B1400" s="1326">
        <v>2</v>
      </c>
      <c r="C1400" s="1853">
        <v>3</v>
      </c>
      <c r="D1400" s="1854"/>
      <c r="E1400" s="1329">
        <v>4</v>
      </c>
      <c r="F1400" s="1327">
        <v>5</v>
      </c>
      <c r="G1400" s="1330">
        <v>7</v>
      </c>
    </row>
    <row r="1401" spans="1:7" x14ac:dyDescent="0.25">
      <c r="A1401" s="1427" t="s">
        <v>2714</v>
      </c>
      <c r="B1401" s="1536" t="s">
        <v>287</v>
      </c>
      <c r="C1401" s="1327"/>
      <c r="D1401" s="1328"/>
      <c r="E1401" s="1329"/>
      <c r="F1401" s="1327"/>
      <c r="G1401" s="1330"/>
    </row>
    <row r="1402" spans="1:7" ht="24" x14ac:dyDescent="0.25">
      <c r="A1402" s="1331" t="s">
        <v>2715</v>
      </c>
      <c r="B1402" s="1332" t="s">
        <v>485</v>
      </c>
      <c r="C1402" s="1333"/>
      <c r="D1402" s="1334"/>
      <c r="E1402" s="1335"/>
      <c r="F1402" s="1336"/>
      <c r="G1402" s="1330"/>
    </row>
    <row r="1403" spans="1:7" ht="24" x14ac:dyDescent="0.25">
      <c r="A1403" s="1331" t="s">
        <v>2716</v>
      </c>
      <c r="B1403" s="1332" t="s">
        <v>2713</v>
      </c>
      <c r="C1403" s="1333"/>
      <c r="D1403" s="1334"/>
      <c r="E1403" s="1335"/>
      <c r="F1403" s="1336"/>
      <c r="G1403" s="1330"/>
    </row>
    <row r="1404" spans="1:7" ht="15.75" thickBot="1" x14ac:dyDescent="0.3">
      <c r="A1404" s="1338"/>
      <c r="B1404" s="1339" t="s">
        <v>2248</v>
      </c>
      <c r="C1404" s="1337">
        <v>1</v>
      </c>
      <c r="D1404" s="1334" t="s">
        <v>222</v>
      </c>
      <c r="E1404" s="1335">
        <v>61730</v>
      </c>
      <c r="F1404" s="1336">
        <f>E1404*C1404</f>
        <v>61730</v>
      </c>
      <c r="G1404" s="1330"/>
    </row>
    <row r="1405" spans="1:7" ht="15.75" thickBot="1" x14ac:dyDescent="0.3">
      <c r="A1405" s="1340"/>
      <c r="B1405" s="1845" t="s">
        <v>548</v>
      </c>
      <c r="C1405" s="1846"/>
      <c r="D1405" s="1846"/>
      <c r="E1405" s="1847"/>
      <c r="F1405" s="1341">
        <f>SUM(F1404:F1404)</f>
        <v>61730</v>
      </c>
      <c r="G1405" s="1330"/>
    </row>
    <row r="1406" spans="1:7" x14ac:dyDescent="0.25">
      <c r="A1406" s="1331"/>
      <c r="B1406" s="1355" t="s">
        <v>1491</v>
      </c>
      <c r="C1406" s="1343"/>
      <c r="D1406" s="1344"/>
      <c r="E1406" s="1340"/>
      <c r="F1406" s="1345"/>
      <c r="G1406" s="1330"/>
    </row>
    <row r="1407" spans="1:7" ht="16.5" x14ac:dyDescent="0.25">
      <c r="A1407" s="1358"/>
      <c r="B1407" s="1364" t="s">
        <v>2276</v>
      </c>
      <c r="C1407" s="1343">
        <v>2</v>
      </c>
      <c r="D1407" s="1344" t="s">
        <v>276</v>
      </c>
      <c r="E1407" s="1365">
        <v>1700000</v>
      </c>
      <c r="F1407" s="1345">
        <f>E1407*C1407</f>
        <v>3400000</v>
      </c>
      <c r="G1407" s="1330"/>
    </row>
    <row r="1408" spans="1:7" ht="17.25" thickBot="1" x14ac:dyDescent="0.3">
      <c r="A1408" s="1358"/>
      <c r="B1408" s="1366" t="s">
        <v>2277</v>
      </c>
      <c r="C1408" s="1343">
        <v>2.5</v>
      </c>
      <c r="D1408" s="1344" t="s">
        <v>1494</v>
      </c>
      <c r="E1408" s="1365">
        <v>35000</v>
      </c>
      <c r="F1408" s="1345">
        <f>E1408*C1408</f>
        <v>87500</v>
      </c>
      <c r="G1408" s="1330"/>
    </row>
    <row r="1409" spans="1:12" ht="15.75" thickBot="1" x14ac:dyDescent="0.3">
      <c r="A1409" s="1343"/>
      <c r="B1409" s="1845" t="s">
        <v>548</v>
      </c>
      <c r="C1409" s="1846"/>
      <c r="D1409" s="1846"/>
      <c r="E1409" s="1847"/>
      <c r="F1409" s="1341">
        <f>SUM(F1407:F1408)</f>
        <v>3487500</v>
      </c>
      <c r="G1409" s="1354"/>
    </row>
    <row r="1410" spans="1:12" ht="15.75" thickBot="1" x14ac:dyDescent="0.3">
      <c r="A1410" s="1343"/>
      <c r="B1410" s="1845" t="s">
        <v>26</v>
      </c>
      <c r="C1410" s="1846"/>
      <c r="D1410" s="1846"/>
      <c r="E1410" s="1847"/>
      <c r="F1410" s="1341"/>
      <c r="G1410" s="1354" t="s">
        <v>1845</v>
      </c>
      <c r="L1410" s="172"/>
    </row>
    <row r="1411" spans="1:12" x14ac:dyDescent="0.25">
      <c r="A1411" s="116"/>
      <c r="B1411" s="116"/>
      <c r="C1411" s="116"/>
      <c r="D1411" s="116"/>
      <c r="E1411" s="116"/>
      <c r="F1411" s="116"/>
      <c r="G1411" s="116"/>
    </row>
    <row r="1412" spans="1:12" x14ac:dyDescent="0.25">
      <c r="A1412" s="116"/>
      <c r="B1412" s="116"/>
      <c r="C1412" s="116"/>
      <c r="D1412" s="116"/>
      <c r="E1412" s="116"/>
      <c r="F1412" s="116"/>
      <c r="G1412" s="116"/>
    </row>
    <row r="1413" spans="1:12" x14ac:dyDescent="0.25">
      <c r="A1413" s="116"/>
      <c r="B1413" s="116"/>
      <c r="C1413" s="116"/>
      <c r="D1413" s="116"/>
      <c r="E1413" s="116"/>
      <c r="F1413" s="116"/>
      <c r="G1413" s="116"/>
    </row>
    <row r="1414" spans="1:12" x14ac:dyDescent="0.25">
      <c r="A1414" s="1852" t="s">
        <v>995</v>
      </c>
      <c r="B1414" s="1852"/>
      <c r="C1414" s="1852"/>
      <c r="D1414" s="1852"/>
      <c r="E1414" s="1852"/>
      <c r="F1414" s="1852"/>
      <c r="G1414" s="1852"/>
    </row>
    <row r="1415" spans="1:12" x14ac:dyDescent="0.25">
      <c r="A1415" s="1852" t="s">
        <v>1</v>
      </c>
      <c r="B1415" s="1852"/>
      <c r="C1415" s="1852"/>
      <c r="D1415" s="1852"/>
      <c r="E1415" s="1852"/>
      <c r="F1415" s="1852"/>
      <c r="G1415" s="1852"/>
    </row>
    <row r="1416" spans="1:12" x14ac:dyDescent="0.25">
      <c r="A1416" s="1852" t="s">
        <v>1425</v>
      </c>
      <c r="B1416" s="1852"/>
      <c r="C1416" s="1852"/>
      <c r="D1416" s="1852"/>
      <c r="E1416" s="1852"/>
      <c r="F1416" s="1852"/>
      <c r="G1416" s="1852"/>
    </row>
    <row r="1417" spans="1:12" x14ac:dyDescent="0.25">
      <c r="A1417" s="1307"/>
      <c r="B1417" s="1308"/>
      <c r="C1417" s="1309"/>
      <c r="D1417" s="1309"/>
      <c r="E1417" s="1310"/>
      <c r="F1417" s="1310"/>
      <c r="G1417" s="1310"/>
    </row>
    <row r="1418" spans="1:12" x14ac:dyDescent="0.25">
      <c r="A1418" s="1310" t="s">
        <v>1483</v>
      </c>
      <c r="B1418" s="1311"/>
      <c r="C1418" s="1312"/>
      <c r="D1418" s="1312"/>
      <c r="E1418" s="1313"/>
      <c r="F1418" s="1313"/>
      <c r="G1418" s="1310"/>
    </row>
    <row r="1419" spans="1:12" x14ac:dyDescent="0.25">
      <c r="A1419" s="1314" t="s">
        <v>712</v>
      </c>
      <c r="B1419" s="1315" t="s">
        <v>1504</v>
      </c>
      <c r="C1419" s="1312"/>
      <c r="D1419" s="1312"/>
      <c r="E1419" s="1313" t="s">
        <v>1484</v>
      </c>
      <c r="F1419" s="1313"/>
      <c r="G1419" s="1310"/>
    </row>
    <row r="1420" spans="1:12" ht="60" x14ac:dyDescent="0.25">
      <c r="A1420" s="1316" t="s">
        <v>749</v>
      </c>
      <c r="B1420" s="1317" t="s">
        <v>2351</v>
      </c>
      <c r="C1420" s="1312"/>
      <c r="D1420" s="1312"/>
      <c r="E1420" s="1313" t="s">
        <v>1485</v>
      </c>
      <c r="F1420" s="1313"/>
      <c r="G1420" s="1314"/>
    </row>
    <row r="1421" spans="1:12" ht="24" x14ac:dyDescent="0.25">
      <c r="A1421" s="1316" t="s">
        <v>1486</v>
      </c>
      <c r="B1421" s="1317" t="s">
        <v>2352</v>
      </c>
      <c r="C1421" s="1312"/>
      <c r="D1421" s="1312"/>
      <c r="E1421" s="1313"/>
      <c r="F1421" s="1313"/>
      <c r="G1421" s="1314"/>
    </row>
    <row r="1422" spans="1:12" x14ac:dyDescent="0.25">
      <c r="A1422" s="1310" t="s">
        <v>1487</v>
      </c>
      <c r="B1422" s="1311" t="s">
        <v>61</v>
      </c>
      <c r="C1422" s="1312"/>
      <c r="D1422" s="1312"/>
      <c r="E1422" s="1310"/>
      <c r="F1422" s="1310"/>
      <c r="G1422" s="1310"/>
    </row>
    <row r="1423" spans="1:12" x14ac:dyDescent="0.25">
      <c r="A1423" s="1314" t="s">
        <v>62</v>
      </c>
      <c r="B1423" s="1315" t="s">
        <v>63</v>
      </c>
      <c r="C1423" s="1312"/>
      <c r="D1423" s="1312"/>
      <c r="E1423" s="1314"/>
      <c r="F1423" s="1314"/>
      <c r="G1423" s="1314"/>
    </row>
    <row r="1424" spans="1:12" x14ac:dyDescent="0.25">
      <c r="A1424" s="1318"/>
      <c r="B1424" s="1319"/>
      <c r="C1424" s="1320"/>
      <c r="D1424" s="1320"/>
      <c r="E1424" s="1318"/>
      <c r="F1424" s="1318"/>
      <c r="G1424" s="1318"/>
    </row>
    <row r="1425" spans="1:12" ht="24" x14ac:dyDescent="0.25">
      <c r="A1425" s="1321" t="s">
        <v>30</v>
      </c>
      <c r="B1425" s="1321" t="s">
        <v>11</v>
      </c>
      <c r="C1425" s="1855" t="s">
        <v>12</v>
      </c>
      <c r="D1425" s="1856"/>
      <c r="E1425" s="1323" t="s">
        <v>13</v>
      </c>
      <c r="F1425" s="1322" t="s">
        <v>14</v>
      </c>
      <c r="G1425" s="1324" t="s">
        <v>266</v>
      </c>
    </row>
    <row r="1426" spans="1:12" x14ac:dyDescent="0.25">
      <c r="A1426" s="1325">
        <v>1</v>
      </c>
      <c r="B1426" s="1326">
        <v>2</v>
      </c>
      <c r="C1426" s="1853">
        <v>3</v>
      </c>
      <c r="D1426" s="1854"/>
      <c r="E1426" s="1329">
        <v>4</v>
      </c>
      <c r="F1426" s="1327">
        <v>5</v>
      </c>
      <c r="G1426" s="1330">
        <v>7</v>
      </c>
    </row>
    <row r="1427" spans="1:12" x14ac:dyDescent="0.25">
      <c r="A1427" s="1427" t="s">
        <v>2714</v>
      </c>
      <c r="B1427" s="1536" t="s">
        <v>287</v>
      </c>
      <c r="C1427" s="1327"/>
      <c r="D1427" s="1328"/>
      <c r="E1427" s="1329"/>
      <c r="F1427" s="1327"/>
      <c r="G1427" s="1330"/>
    </row>
    <row r="1428" spans="1:12" ht="24" x14ac:dyDescent="0.25">
      <c r="A1428" s="1331" t="s">
        <v>2715</v>
      </c>
      <c r="B1428" s="1332" t="s">
        <v>485</v>
      </c>
      <c r="C1428" s="1333"/>
      <c r="D1428" s="1334"/>
      <c r="E1428" s="1335"/>
      <c r="F1428" s="1336"/>
      <c r="G1428" s="1330"/>
    </row>
    <row r="1429" spans="1:12" ht="24" x14ac:dyDescent="0.25">
      <c r="A1429" s="1331" t="s">
        <v>2716</v>
      </c>
      <c r="B1429" s="1332" t="s">
        <v>2713</v>
      </c>
      <c r="C1429" s="1333"/>
      <c r="D1429" s="1334"/>
      <c r="E1429" s="1335"/>
      <c r="F1429" s="1336"/>
      <c r="G1429" s="1330"/>
    </row>
    <row r="1430" spans="1:12" ht="15.75" thickBot="1" x14ac:dyDescent="0.3">
      <c r="A1430" s="1338"/>
      <c r="B1430" s="1339" t="s">
        <v>2248</v>
      </c>
      <c r="C1430" s="1337">
        <v>1</v>
      </c>
      <c r="D1430" s="1334" t="s">
        <v>473</v>
      </c>
      <c r="E1430" s="1335">
        <v>33840</v>
      </c>
      <c r="F1430" s="1336">
        <f>E1430*C1430</f>
        <v>33840</v>
      </c>
      <c r="G1430" s="1330"/>
    </row>
    <row r="1431" spans="1:12" ht="15.75" thickBot="1" x14ac:dyDescent="0.3">
      <c r="A1431" s="1340"/>
      <c r="B1431" s="1845" t="s">
        <v>548</v>
      </c>
      <c r="C1431" s="1846"/>
      <c r="D1431" s="1846"/>
      <c r="E1431" s="1847"/>
      <c r="F1431" s="1341">
        <f>SUM(F1430:F1430)</f>
        <v>33840</v>
      </c>
      <c r="G1431" s="1330"/>
    </row>
    <row r="1432" spans="1:12" x14ac:dyDescent="0.25">
      <c r="A1432" s="1331" t="s">
        <v>2251</v>
      </c>
      <c r="B1432" s="1355" t="s">
        <v>1491</v>
      </c>
      <c r="C1432" s="1343"/>
      <c r="D1432" s="1344"/>
      <c r="E1432" s="1340"/>
      <c r="F1432" s="1345"/>
      <c r="G1432" s="1330"/>
    </row>
    <row r="1433" spans="1:12" ht="17.25" thickBot="1" x14ac:dyDescent="0.3">
      <c r="A1433" s="1358"/>
      <c r="B1433" s="1735" t="s">
        <v>2318</v>
      </c>
      <c r="C1433" s="1343">
        <v>2</v>
      </c>
      <c r="D1433" s="1344" t="s">
        <v>843</v>
      </c>
      <c r="E1433" s="1365">
        <v>150000</v>
      </c>
      <c r="F1433" s="1345">
        <f>E1433*C1433</f>
        <v>300000</v>
      </c>
      <c r="G1433" s="1330"/>
    </row>
    <row r="1434" spans="1:12" ht="15.75" thickBot="1" x14ac:dyDescent="0.3">
      <c r="A1434" s="1340"/>
      <c r="B1434" s="1845" t="s">
        <v>548</v>
      </c>
      <c r="C1434" s="1846"/>
      <c r="D1434" s="1846"/>
      <c r="E1434" s="1847"/>
      <c r="F1434" s="1341">
        <f>SUM(F1433:F1433)</f>
        <v>300000</v>
      </c>
      <c r="G1434" s="1330"/>
    </row>
    <row r="1435" spans="1:12" ht="15.75" thickBot="1" x14ac:dyDescent="0.3">
      <c r="A1435" s="1343"/>
      <c r="B1435" s="1845"/>
      <c r="C1435" s="1846"/>
      <c r="D1435" s="1846"/>
      <c r="E1435" s="1847"/>
      <c r="F1435" s="1341"/>
      <c r="G1435" s="1354"/>
    </row>
    <row r="1436" spans="1:12" ht="15.75" thickBot="1" x14ac:dyDescent="0.3">
      <c r="A1436" s="1343"/>
      <c r="B1436" s="1845" t="s">
        <v>26</v>
      </c>
      <c r="C1436" s="1846"/>
      <c r="D1436" s="1846"/>
      <c r="E1436" s="1847"/>
      <c r="F1436" s="1341"/>
      <c r="G1436" s="1354" t="s">
        <v>1845</v>
      </c>
      <c r="L1436" s="172"/>
    </row>
    <row r="1437" spans="1:12" x14ac:dyDescent="0.25">
      <c r="A1437" s="116"/>
      <c r="B1437" s="116"/>
      <c r="C1437" s="116"/>
      <c r="D1437" s="116"/>
      <c r="E1437" s="116"/>
      <c r="F1437" s="116"/>
      <c r="G1437" s="116"/>
    </row>
    <row r="1438" spans="1:12" x14ac:dyDescent="0.25">
      <c r="A1438" s="116"/>
      <c r="B1438" s="116"/>
      <c r="C1438" s="116"/>
      <c r="D1438" s="116"/>
      <c r="E1438" s="116"/>
      <c r="F1438" s="116"/>
      <c r="G1438" s="116"/>
    </row>
    <row r="1439" spans="1:12" x14ac:dyDescent="0.25">
      <c r="A1439" s="116"/>
      <c r="B1439" s="116"/>
      <c r="C1439" s="116"/>
      <c r="D1439" s="116"/>
      <c r="E1439" s="116"/>
      <c r="F1439" s="116"/>
      <c r="G1439" s="116"/>
    </row>
    <row r="1440" spans="1:12" x14ac:dyDescent="0.25">
      <c r="A1440" s="1852" t="s">
        <v>1506</v>
      </c>
      <c r="B1440" s="1852"/>
      <c r="C1440" s="1852"/>
      <c r="D1440" s="1852"/>
      <c r="E1440" s="1852"/>
      <c r="F1440" s="1852"/>
      <c r="G1440" s="1852"/>
    </row>
    <row r="1441" spans="1:7" x14ac:dyDescent="0.25">
      <c r="A1441" s="1852" t="s">
        <v>1</v>
      </c>
      <c r="B1441" s="1852"/>
      <c r="C1441" s="1852"/>
      <c r="D1441" s="1852"/>
      <c r="E1441" s="1852"/>
      <c r="F1441" s="1852"/>
      <c r="G1441" s="1852"/>
    </row>
    <row r="1442" spans="1:7" x14ac:dyDescent="0.25">
      <c r="A1442" s="1852" t="s">
        <v>1769</v>
      </c>
      <c r="B1442" s="1852"/>
      <c r="C1442" s="1852"/>
      <c r="D1442" s="1852"/>
      <c r="E1442" s="1852"/>
      <c r="F1442" s="1852"/>
      <c r="G1442" s="1852"/>
    </row>
    <row r="1443" spans="1:7" x14ac:dyDescent="0.25">
      <c r="A1443" s="1307"/>
      <c r="B1443" s="1308"/>
      <c r="C1443" s="1309"/>
      <c r="D1443" s="1309"/>
      <c r="E1443" s="1310"/>
      <c r="F1443" s="1310"/>
      <c r="G1443" s="1310"/>
    </row>
    <row r="1444" spans="1:7" x14ac:dyDescent="0.25">
      <c r="A1444" s="1310" t="s">
        <v>1483</v>
      </c>
      <c r="B1444" s="1311"/>
      <c r="C1444" s="1312"/>
      <c r="D1444" s="1312"/>
      <c r="E1444" s="1313"/>
      <c r="F1444" s="1313"/>
      <c r="G1444" s="1310"/>
    </row>
    <row r="1445" spans="1:7" x14ac:dyDescent="0.25">
      <c r="A1445" s="1314" t="s">
        <v>712</v>
      </c>
      <c r="B1445" s="1315" t="s">
        <v>1504</v>
      </c>
      <c r="C1445" s="1312"/>
      <c r="D1445" s="1312"/>
      <c r="E1445" s="1313" t="s">
        <v>1484</v>
      </c>
      <c r="F1445" s="1313"/>
      <c r="G1445" s="1310"/>
    </row>
    <row r="1446" spans="1:7" ht="60" x14ac:dyDescent="0.25">
      <c r="A1446" s="1316" t="s">
        <v>749</v>
      </c>
      <c r="B1446" s="1317" t="s">
        <v>2353</v>
      </c>
      <c r="C1446" s="1312"/>
      <c r="D1446" s="1312"/>
      <c r="E1446" s="1313" t="s">
        <v>1485</v>
      </c>
      <c r="F1446" s="1313"/>
      <c r="G1446" s="1314"/>
    </row>
    <row r="1447" spans="1:7" ht="24" x14ac:dyDescent="0.25">
      <c r="A1447" s="1316" t="s">
        <v>1486</v>
      </c>
      <c r="B1447" s="1317" t="s">
        <v>2354</v>
      </c>
      <c r="C1447" s="1312"/>
      <c r="D1447" s="1312"/>
      <c r="E1447" s="1313"/>
      <c r="F1447" s="1313"/>
      <c r="G1447" s="1314"/>
    </row>
    <row r="1448" spans="1:7" x14ac:dyDescent="0.25">
      <c r="A1448" s="1310" t="s">
        <v>1487</v>
      </c>
      <c r="B1448" s="1311" t="s">
        <v>61</v>
      </c>
      <c r="C1448" s="1312"/>
      <c r="D1448" s="1312"/>
      <c r="E1448" s="1310"/>
      <c r="F1448" s="1310"/>
      <c r="G1448" s="1310"/>
    </row>
    <row r="1449" spans="1:7" x14ac:dyDescent="0.25">
      <c r="A1449" s="1314" t="s">
        <v>62</v>
      </c>
      <c r="B1449" s="1315" t="s">
        <v>63</v>
      </c>
      <c r="C1449" s="1312"/>
      <c r="D1449" s="1312"/>
      <c r="E1449" s="1314"/>
      <c r="F1449" s="1314"/>
      <c r="G1449" s="1314"/>
    </row>
    <row r="1450" spans="1:7" x14ac:dyDescent="0.25">
      <c r="A1450" s="1318"/>
      <c r="B1450" s="1319"/>
      <c r="C1450" s="1320"/>
      <c r="D1450" s="1320"/>
      <c r="E1450" s="1318"/>
      <c r="F1450" s="1318"/>
      <c r="G1450" s="1318"/>
    </row>
    <row r="1451" spans="1:7" ht="24" x14ac:dyDescent="0.25">
      <c r="A1451" s="1321" t="s">
        <v>30</v>
      </c>
      <c r="B1451" s="1321" t="s">
        <v>11</v>
      </c>
      <c r="C1451" s="1855" t="s">
        <v>12</v>
      </c>
      <c r="D1451" s="1856"/>
      <c r="E1451" s="1323" t="s">
        <v>13</v>
      </c>
      <c r="F1451" s="1322" t="s">
        <v>14</v>
      </c>
      <c r="G1451" s="1324" t="s">
        <v>266</v>
      </c>
    </row>
    <row r="1452" spans="1:7" x14ac:dyDescent="0.25">
      <c r="A1452" s="1325">
        <v>1</v>
      </c>
      <c r="B1452" s="1326">
        <v>2</v>
      </c>
      <c r="C1452" s="1853">
        <v>3</v>
      </c>
      <c r="D1452" s="1854"/>
      <c r="E1452" s="1329">
        <v>4</v>
      </c>
      <c r="F1452" s="1327">
        <v>5</v>
      </c>
      <c r="G1452" s="1330">
        <v>7</v>
      </c>
    </row>
    <row r="1453" spans="1:7" x14ac:dyDescent="0.25">
      <c r="A1453" s="1427" t="s">
        <v>2714</v>
      </c>
      <c r="B1453" s="1536" t="s">
        <v>287</v>
      </c>
      <c r="C1453" s="1327"/>
      <c r="D1453" s="1328"/>
      <c r="E1453" s="1329"/>
      <c r="F1453" s="1327"/>
      <c r="G1453" s="1330"/>
    </row>
    <row r="1454" spans="1:7" ht="24" x14ac:dyDescent="0.25">
      <c r="A1454" s="1331" t="s">
        <v>2715</v>
      </c>
      <c r="B1454" s="1332" t="s">
        <v>485</v>
      </c>
      <c r="C1454" s="1333"/>
      <c r="D1454" s="1334"/>
      <c r="E1454" s="1335"/>
      <c r="F1454" s="1336"/>
      <c r="G1454" s="1330"/>
    </row>
    <row r="1455" spans="1:7" ht="24" x14ac:dyDescent="0.25">
      <c r="A1455" s="1331" t="s">
        <v>2716</v>
      </c>
      <c r="B1455" s="1332" t="s">
        <v>2713</v>
      </c>
      <c r="C1455" s="1333"/>
      <c r="D1455" s="1334"/>
      <c r="E1455" s="1335"/>
      <c r="F1455" s="1336"/>
      <c r="G1455" s="1330"/>
    </row>
    <row r="1456" spans="1:7" ht="15.75" thickBot="1" x14ac:dyDescent="0.3">
      <c r="A1456" s="1338"/>
      <c r="B1456" s="1339" t="s">
        <v>2248</v>
      </c>
      <c r="C1456" s="1337">
        <v>1</v>
      </c>
      <c r="D1456" s="1334" t="s">
        <v>473</v>
      </c>
      <c r="E1456" s="1335">
        <v>177020</v>
      </c>
      <c r="F1456" s="1336">
        <f>E1456*C1456</f>
        <v>177020</v>
      </c>
      <c r="G1456" s="1330"/>
    </row>
    <row r="1457" spans="1:12" ht="15.75" thickBot="1" x14ac:dyDescent="0.3">
      <c r="A1457" s="1340"/>
      <c r="B1457" s="1845" t="s">
        <v>548</v>
      </c>
      <c r="C1457" s="1846"/>
      <c r="D1457" s="1846"/>
      <c r="E1457" s="1847"/>
      <c r="F1457" s="1341">
        <f>SUM(F1456:F1456)</f>
        <v>177020</v>
      </c>
      <c r="G1457" s="1330"/>
    </row>
    <row r="1458" spans="1:12" x14ac:dyDescent="0.25">
      <c r="A1458" s="1331" t="s">
        <v>2251</v>
      </c>
      <c r="B1458" s="1355" t="s">
        <v>1491</v>
      </c>
      <c r="C1458" s="1343"/>
      <c r="D1458" s="1344"/>
      <c r="E1458" s="1340"/>
      <c r="F1458" s="1345"/>
      <c r="G1458" s="1330"/>
    </row>
    <row r="1459" spans="1:12" ht="16.5" x14ac:dyDescent="0.25">
      <c r="A1459" s="1358"/>
      <c r="B1459" s="1364" t="s">
        <v>2253</v>
      </c>
      <c r="C1459" s="1343">
        <v>1303</v>
      </c>
      <c r="D1459" s="1740" t="s">
        <v>1494</v>
      </c>
      <c r="E1459" s="1365">
        <v>3000</v>
      </c>
      <c r="F1459" s="1345">
        <f>E1459*C1459</f>
        <v>3909000</v>
      </c>
      <c r="G1459" s="1330"/>
    </row>
    <row r="1460" spans="1:12" ht="16.5" x14ac:dyDescent="0.25">
      <c r="A1460" s="1358"/>
      <c r="B1460" s="1366" t="s">
        <v>1492</v>
      </c>
      <c r="C1460" s="1343">
        <v>2</v>
      </c>
      <c r="D1460" s="1737" t="s">
        <v>843</v>
      </c>
      <c r="E1460" s="1365">
        <v>400000</v>
      </c>
      <c r="F1460" s="1345">
        <f>E1460*C1460</f>
        <v>800000</v>
      </c>
      <c r="G1460" s="1330"/>
    </row>
    <row r="1461" spans="1:12" x14ac:dyDescent="0.25">
      <c r="A1461" s="1338"/>
      <c r="B1461" s="1359"/>
      <c r="C1461" s="1360"/>
      <c r="D1461" s="1361"/>
      <c r="E1461" s="1362"/>
      <c r="F1461" s="1352"/>
      <c r="G1461" s="1330"/>
    </row>
    <row r="1462" spans="1:12" ht="15.75" thickBot="1" x14ac:dyDescent="0.3">
      <c r="A1462" s="1343"/>
      <c r="B1462" s="1845" t="s">
        <v>548</v>
      </c>
      <c r="C1462" s="1846"/>
      <c r="D1462" s="1846"/>
      <c r="E1462" s="1847"/>
      <c r="F1462" s="1341">
        <f>SUM(F1459:F1460)</f>
        <v>4709000</v>
      </c>
      <c r="G1462" s="1354"/>
    </row>
    <row r="1463" spans="1:12" x14ac:dyDescent="0.25">
      <c r="A1463" s="1343"/>
      <c r="B1463" s="1845" t="s">
        <v>26</v>
      </c>
      <c r="C1463" s="1846"/>
      <c r="D1463" s="1846"/>
      <c r="E1463" s="1847"/>
      <c r="F1463" s="1341"/>
      <c r="G1463" s="1354" t="s">
        <v>1845</v>
      </c>
      <c r="L1463" s="172"/>
    </row>
    <row r="1464" spans="1:12" x14ac:dyDescent="0.25">
      <c r="A1464" s="116"/>
      <c r="B1464" s="116"/>
      <c r="C1464" s="116"/>
      <c r="D1464" s="116"/>
      <c r="E1464" s="116"/>
      <c r="F1464" s="116"/>
      <c r="G1464" s="116"/>
    </row>
    <row r="1465" spans="1:12" x14ac:dyDescent="0.25">
      <c r="A1465" s="116"/>
      <c r="B1465" s="116"/>
      <c r="C1465" s="116"/>
      <c r="D1465" s="116"/>
      <c r="E1465" s="116"/>
      <c r="F1465" s="116"/>
      <c r="G1465" s="116"/>
    </row>
    <row r="1466" spans="1:12" x14ac:dyDescent="0.25">
      <c r="A1466" s="116"/>
      <c r="B1466" s="116"/>
      <c r="C1466" s="116"/>
      <c r="D1466" s="116"/>
      <c r="E1466" s="116"/>
      <c r="F1466" s="116"/>
      <c r="G1466" s="116"/>
    </row>
    <row r="1467" spans="1:12" x14ac:dyDescent="0.25">
      <c r="A1467" s="116"/>
      <c r="B1467" s="116"/>
      <c r="C1467" s="116"/>
      <c r="D1467" s="116"/>
      <c r="E1467" s="116"/>
      <c r="F1467" s="116"/>
      <c r="G1467" s="116"/>
    </row>
    <row r="1468" spans="1:12" x14ac:dyDescent="0.25">
      <c r="A1468" s="116"/>
      <c r="B1468" s="116"/>
      <c r="C1468" s="116"/>
      <c r="D1468" s="116"/>
      <c r="E1468" s="116"/>
      <c r="F1468" s="116"/>
      <c r="G1468" s="116"/>
    </row>
    <row r="1469" spans="1:12" x14ac:dyDescent="0.25">
      <c r="A1469" s="1852" t="s">
        <v>0</v>
      </c>
      <c r="B1469" s="1852"/>
      <c r="C1469" s="1852"/>
      <c r="D1469" s="1852"/>
      <c r="E1469" s="1852"/>
      <c r="F1469" s="1852"/>
      <c r="G1469" s="1852"/>
    </row>
    <row r="1470" spans="1:12" x14ac:dyDescent="0.25">
      <c r="A1470" s="1852" t="s">
        <v>1</v>
      </c>
      <c r="B1470" s="1852"/>
      <c r="C1470" s="1852"/>
      <c r="D1470" s="1852"/>
      <c r="E1470" s="1852"/>
      <c r="F1470" s="1852"/>
      <c r="G1470" s="1852"/>
    </row>
    <row r="1471" spans="1:12" x14ac:dyDescent="0.25">
      <c r="A1471" s="1852" t="s">
        <v>1769</v>
      </c>
      <c r="B1471" s="1852"/>
      <c r="C1471" s="1852"/>
      <c r="D1471" s="1852"/>
      <c r="E1471" s="1852"/>
      <c r="F1471" s="1852"/>
      <c r="G1471" s="1852"/>
    </row>
    <row r="1472" spans="1:12" x14ac:dyDescent="0.25">
      <c r="A1472" s="1307"/>
      <c r="B1472" s="1308"/>
      <c r="C1472" s="1309"/>
      <c r="D1472" s="1309"/>
      <c r="E1472" s="1310"/>
      <c r="F1472" s="1310"/>
      <c r="G1472" s="1310"/>
    </row>
    <row r="1473" spans="1:7" x14ac:dyDescent="0.25">
      <c r="A1473" s="1310" t="s">
        <v>1483</v>
      </c>
      <c r="B1473" s="1311"/>
      <c r="C1473" s="1312"/>
      <c r="D1473" s="1312"/>
      <c r="E1473" s="1313"/>
      <c r="F1473" s="1313"/>
      <c r="G1473" s="1310"/>
    </row>
    <row r="1474" spans="1:7" x14ac:dyDescent="0.25">
      <c r="A1474" s="1314" t="s">
        <v>712</v>
      </c>
      <c r="B1474" s="1315" t="s">
        <v>1504</v>
      </c>
      <c r="C1474" s="1312"/>
      <c r="D1474" s="1312"/>
      <c r="E1474" s="1313" t="s">
        <v>1484</v>
      </c>
      <c r="F1474" s="1313"/>
      <c r="G1474" s="1310"/>
    </row>
    <row r="1475" spans="1:7" ht="60" x14ac:dyDescent="0.25">
      <c r="A1475" s="1316" t="s">
        <v>749</v>
      </c>
      <c r="B1475" s="1317" t="s">
        <v>2355</v>
      </c>
      <c r="C1475" s="1312"/>
      <c r="D1475" s="1312"/>
      <c r="E1475" s="1313" t="s">
        <v>1485</v>
      </c>
      <c r="F1475" s="1313"/>
      <c r="G1475" s="1314"/>
    </row>
    <row r="1476" spans="1:7" ht="24" x14ac:dyDescent="0.25">
      <c r="A1476" s="1316" t="s">
        <v>1486</v>
      </c>
      <c r="B1476" s="1317" t="s">
        <v>2356</v>
      </c>
      <c r="C1476" s="1312"/>
      <c r="D1476" s="1312"/>
      <c r="E1476" s="1313"/>
      <c r="F1476" s="1313"/>
      <c r="G1476" s="1314"/>
    </row>
    <row r="1477" spans="1:7" x14ac:dyDescent="0.25">
      <c r="A1477" s="1310" t="s">
        <v>1487</v>
      </c>
      <c r="B1477" s="1311" t="s">
        <v>61</v>
      </c>
      <c r="C1477" s="1312"/>
      <c r="D1477" s="1312"/>
      <c r="E1477" s="1310"/>
      <c r="F1477" s="1310"/>
      <c r="G1477" s="1310"/>
    </row>
    <row r="1478" spans="1:7" x14ac:dyDescent="0.25">
      <c r="A1478" s="1314" t="s">
        <v>62</v>
      </c>
      <c r="B1478" s="1315" t="s">
        <v>63</v>
      </c>
      <c r="C1478" s="1312"/>
      <c r="D1478" s="1312"/>
      <c r="E1478" s="1314"/>
      <c r="F1478" s="1314"/>
      <c r="G1478" s="1314"/>
    </row>
    <row r="1479" spans="1:7" x14ac:dyDescent="0.25">
      <c r="A1479" s="1318"/>
      <c r="B1479" s="1319"/>
      <c r="C1479" s="1320"/>
      <c r="D1479" s="1320"/>
      <c r="E1479" s="1318"/>
      <c r="F1479" s="1318"/>
      <c r="G1479" s="1318"/>
    </row>
    <row r="1480" spans="1:7" ht="24" x14ac:dyDescent="0.25">
      <c r="A1480" s="1321" t="s">
        <v>30</v>
      </c>
      <c r="B1480" s="1321" t="s">
        <v>11</v>
      </c>
      <c r="C1480" s="1855" t="s">
        <v>12</v>
      </c>
      <c r="D1480" s="1856"/>
      <c r="E1480" s="1323" t="s">
        <v>13</v>
      </c>
      <c r="F1480" s="1322" t="s">
        <v>14</v>
      </c>
      <c r="G1480" s="1324" t="s">
        <v>266</v>
      </c>
    </row>
    <row r="1481" spans="1:7" x14ac:dyDescent="0.25">
      <c r="A1481" s="1325">
        <v>1</v>
      </c>
      <c r="B1481" s="1326">
        <v>2</v>
      </c>
      <c r="C1481" s="1853">
        <v>3</v>
      </c>
      <c r="D1481" s="1854"/>
      <c r="E1481" s="1329">
        <v>4</v>
      </c>
      <c r="F1481" s="1327">
        <v>5</v>
      </c>
      <c r="G1481" s="1330">
        <v>7</v>
      </c>
    </row>
    <row r="1482" spans="1:7" x14ac:dyDescent="0.25">
      <c r="A1482" s="1427" t="s">
        <v>2714</v>
      </c>
      <c r="B1482" s="1536" t="s">
        <v>287</v>
      </c>
      <c r="C1482" s="1327"/>
      <c r="D1482" s="1328"/>
      <c r="E1482" s="1329"/>
      <c r="F1482" s="1327"/>
      <c r="G1482" s="1330"/>
    </row>
    <row r="1483" spans="1:7" ht="24" x14ac:dyDescent="0.25">
      <c r="A1483" s="1331" t="s">
        <v>2715</v>
      </c>
      <c r="B1483" s="1332" t="s">
        <v>485</v>
      </c>
      <c r="C1483" s="1333"/>
      <c r="D1483" s="1334"/>
      <c r="E1483" s="1335"/>
      <c r="F1483" s="1336"/>
      <c r="G1483" s="1330"/>
    </row>
    <row r="1484" spans="1:7" ht="15.75" thickBot="1" x14ac:dyDescent="0.3">
      <c r="A1484" s="1338"/>
      <c r="B1484" s="1339" t="s">
        <v>2248</v>
      </c>
      <c r="C1484" s="1337">
        <v>1</v>
      </c>
      <c r="D1484" s="1334" t="s">
        <v>473</v>
      </c>
      <c r="E1484" s="1335">
        <v>115140</v>
      </c>
      <c r="F1484" s="1336">
        <f>E1484*C1484</f>
        <v>115140</v>
      </c>
      <c r="G1484" s="1330"/>
    </row>
    <row r="1485" spans="1:7" ht="15.75" thickBot="1" x14ac:dyDescent="0.3">
      <c r="A1485" s="1343"/>
      <c r="B1485" s="1845" t="s">
        <v>434</v>
      </c>
      <c r="C1485" s="1846"/>
      <c r="D1485" s="1846"/>
      <c r="E1485" s="1851"/>
      <c r="F1485" s="1701">
        <f>F1484</f>
        <v>115140</v>
      </c>
      <c r="G1485" s="1354"/>
    </row>
    <row r="1486" spans="1:7" ht="24" x14ac:dyDescent="0.25">
      <c r="A1486" s="1331" t="s">
        <v>2251</v>
      </c>
      <c r="B1486" s="1332" t="s">
        <v>2713</v>
      </c>
      <c r="C1486" s="1333"/>
      <c r="D1486" s="1334"/>
      <c r="E1486" s="1335"/>
      <c r="F1486" s="1336"/>
      <c r="G1486" s="1330"/>
    </row>
    <row r="1487" spans="1:7" x14ac:dyDescent="0.25">
      <c r="A1487" s="1331"/>
      <c r="B1487" s="1355" t="s">
        <v>1491</v>
      </c>
      <c r="C1487" s="1343"/>
      <c r="D1487" s="1344"/>
      <c r="E1487" s="1340"/>
      <c r="F1487" s="1345"/>
      <c r="G1487" s="1330"/>
    </row>
    <row r="1488" spans="1:7" ht="16.5" x14ac:dyDescent="0.25">
      <c r="A1488" s="1358"/>
      <c r="B1488" s="1364" t="s">
        <v>2253</v>
      </c>
      <c r="C1488" s="1343">
        <v>955</v>
      </c>
      <c r="D1488" s="1740" t="s">
        <v>1494</v>
      </c>
      <c r="E1488" s="1365">
        <v>3000</v>
      </c>
      <c r="F1488" s="1345">
        <f>E1488*C1488</f>
        <v>2865000</v>
      </c>
      <c r="G1488" s="1330"/>
    </row>
    <row r="1489" spans="1:12" ht="16.5" x14ac:dyDescent="0.25">
      <c r="A1489" s="1358"/>
      <c r="B1489" s="1366" t="s">
        <v>1492</v>
      </c>
      <c r="C1489" s="1343">
        <v>2</v>
      </c>
      <c r="D1489" s="1737" t="s">
        <v>843</v>
      </c>
      <c r="E1489" s="1365">
        <v>400000</v>
      </c>
      <c r="F1489" s="1345">
        <f>E1489*C1489</f>
        <v>800000</v>
      </c>
      <c r="G1489" s="1330"/>
    </row>
    <row r="1490" spans="1:12" ht="15.75" thickBot="1" x14ac:dyDescent="0.3">
      <c r="A1490" s="1338"/>
      <c r="B1490" s="1359"/>
      <c r="C1490" s="1360"/>
      <c r="D1490" s="1361"/>
      <c r="E1490" s="1362"/>
      <c r="F1490" s="1352"/>
      <c r="G1490" s="1330"/>
    </row>
    <row r="1491" spans="1:12" ht="15.75" thickBot="1" x14ac:dyDescent="0.3">
      <c r="A1491" s="1343"/>
      <c r="B1491" s="1845" t="s">
        <v>548</v>
      </c>
      <c r="C1491" s="1846"/>
      <c r="D1491" s="1846"/>
      <c r="E1491" s="1847"/>
      <c r="F1491" s="1341">
        <f>F1489+F1488</f>
        <v>3665000</v>
      </c>
      <c r="G1491" s="1354"/>
    </row>
    <row r="1492" spans="1:12" x14ac:dyDescent="0.25">
      <c r="A1492" s="1343"/>
      <c r="B1492" s="1845" t="s">
        <v>26</v>
      </c>
      <c r="C1492" s="1846"/>
      <c r="D1492" s="1846"/>
      <c r="E1492" s="1847"/>
      <c r="F1492" s="1341"/>
      <c r="G1492" s="1354" t="s">
        <v>1845</v>
      </c>
      <c r="L1492" s="172"/>
    </row>
    <row r="1493" spans="1:12" x14ac:dyDescent="0.25">
      <c r="A1493" s="116"/>
      <c r="B1493" s="116"/>
      <c r="C1493" s="116"/>
      <c r="D1493" s="116"/>
      <c r="E1493" s="116"/>
      <c r="F1493" s="1704"/>
      <c r="G1493" s="116"/>
    </row>
    <row r="1494" spans="1:12" x14ac:dyDescent="0.25">
      <c r="A1494" s="116"/>
      <c r="B1494" s="116"/>
      <c r="C1494" s="116"/>
      <c r="D1494" s="116"/>
      <c r="E1494" s="116"/>
      <c r="F1494" s="1704"/>
      <c r="G1494" s="116"/>
    </row>
    <row r="1495" spans="1:12" x14ac:dyDescent="0.25">
      <c r="A1495" s="116"/>
      <c r="B1495" s="116"/>
      <c r="C1495" s="116"/>
      <c r="D1495" s="116"/>
      <c r="E1495" s="116"/>
      <c r="F1495" s="1705"/>
      <c r="G1495" s="116"/>
    </row>
    <row r="1496" spans="1:12" x14ac:dyDescent="0.25">
      <c r="A1496" s="1852" t="s">
        <v>995</v>
      </c>
      <c r="B1496" s="1852"/>
      <c r="C1496" s="1852"/>
      <c r="D1496" s="1852"/>
      <c r="E1496" s="1852"/>
      <c r="F1496" s="1852"/>
      <c r="G1496" s="1852"/>
    </row>
    <row r="1497" spans="1:12" x14ac:dyDescent="0.25">
      <c r="A1497" s="1852" t="s">
        <v>1</v>
      </c>
      <c r="B1497" s="1852"/>
      <c r="C1497" s="1852"/>
      <c r="D1497" s="1852"/>
      <c r="E1497" s="1852"/>
      <c r="F1497" s="1852"/>
      <c r="G1497" s="1852"/>
    </row>
    <row r="1498" spans="1:12" x14ac:dyDescent="0.25">
      <c r="A1498" s="1852" t="s">
        <v>1425</v>
      </c>
      <c r="B1498" s="1852"/>
      <c r="C1498" s="1852"/>
      <c r="D1498" s="1852"/>
      <c r="E1498" s="1852"/>
      <c r="F1498" s="1852"/>
      <c r="G1498" s="1852"/>
    </row>
    <row r="1499" spans="1:12" x14ac:dyDescent="0.25">
      <c r="A1499" s="1307"/>
      <c r="B1499" s="1308"/>
      <c r="C1499" s="1309"/>
      <c r="D1499" s="1309"/>
      <c r="E1499" s="1310"/>
      <c r="F1499" s="1310"/>
      <c r="G1499" s="1310"/>
    </row>
    <row r="1500" spans="1:12" x14ac:dyDescent="0.25">
      <c r="A1500" s="1310" t="s">
        <v>1483</v>
      </c>
      <c r="B1500" s="1311"/>
      <c r="C1500" s="1312"/>
      <c r="D1500" s="1312"/>
      <c r="E1500" s="1313"/>
      <c r="F1500" s="1313"/>
      <c r="G1500" s="1310"/>
    </row>
    <row r="1501" spans="1:12" x14ac:dyDescent="0.25">
      <c r="A1501" s="1314" t="s">
        <v>712</v>
      </c>
      <c r="B1501" s="1315" t="s">
        <v>1504</v>
      </c>
      <c r="C1501" s="1312"/>
      <c r="D1501" s="1312"/>
      <c r="E1501" s="1313" t="s">
        <v>1484</v>
      </c>
      <c r="F1501" s="1313"/>
      <c r="G1501" s="1310"/>
    </row>
    <row r="1502" spans="1:12" ht="60" x14ac:dyDescent="0.25">
      <c r="A1502" s="1316" t="s">
        <v>749</v>
      </c>
      <c r="B1502" s="1317" t="s">
        <v>2496</v>
      </c>
      <c r="C1502" s="1312"/>
      <c r="D1502" s="1312"/>
      <c r="E1502" s="1313" t="s">
        <v>1485</v>
      </c>
      <c r="F1502" s="1313"/>
      <c r="G1502" s="1314"/>
    </row>
    <row r="1503" spans="1:12" ht="24" x14ac:dyDescent="0.25">
      <c r="A1503" s="1316" t="s">
        <v>1486</v>
      </c>
      <c r="B1503" s="1317" t="s">
        <v>2357</v>
      </c>
      <c r="C1503" s="1312"/>
      <c r="D1503" s="1312"/>
      <c r="E1503" s="1313"/>
      <c r="F1503" s="1313"/>
      <c r="G1503" s="1314"/>
    </row>
    <row r="1504" spans="1:12" x14ac:dyDescent="0.25">
      <c r="A1504" s="1310" t="s">
        <v>1487</v>
      </c>
      <c r="B1504" s="1311" t="s">
        <v>61</v>
      </c>
      <c r="C1504" s="1312"/>
      <c r="D1504" s="1312"/>
      <c r="E1504" s="1310"/>
      <c r="F1504" s="1310"/>
      <c r="G1504" s="1310"/>
    </row>
    <row r="1505" spans="1:7" x14ac:dyDescent="0.25">
      <c r="A1505" s="1314" t="s">
        <v>62</v>
      </c>
      <c r="B1505" s="1315" t="s">
        <v>63</v>
      </c>
      <c r="C1505" s="1312"/>
      <c r="D1505" s="1312"/>
      <c r="E1505" s="1314"/>
      <c r="F1505" s="1741"/>
      <c r="G1505" s="1314"/>
    </row>
    <row r="1506" spans="1:7" x14ac:dyDescent="0.25">
      <c r="A1506" s="1318"/>
      <c r="B1506" s="1319"/>
      <c r="C1506" s="1320"/>
      <c r="D1506" s="1320"/>
      <c r="E1506" s="1318"/>
      <c r="F1506" s="1318"/>
      <c r="G1506" s="1318"/>
    </row>
    <row r="1507" spans="1:7" ht="24" x14ac:dyDescent="0.25">
      <c r="A1507" s="1321" t="s">
        <v>30</v>
      </c>
      <c r="B1507" s="1321" t="s">
        <v>11</v>
      </c>
      <c r="C1507" s="1855" t="s">
        <v>12</v>
      </c>
      <c r="D1507" s="1856"/>
      <c r="E1507" s="1323" t="s">
        <v>13</v>
      </c>
      <c r="F1507" s="1322" t="s">
        <v>14</v>
      </c>
      <c r="G1507" s="1324" t="s">
        <v>266</v>
      </c>
    </row>
    <row r="1508" spans="1:7" x14ac:dyDescent="0.25">
      <c r="A1508" s="1325">
        <v>1</v>
      </c>
      <c r="B1508" s="1326">
        <v>2</v>
      </c>
      <c r="C1508" s="1853">
        <v>3</v>
      </c>
      <c r="D1508" s="1854"/>
      <c r="E1508" s="1329">
        <v>4</v>
      </c>
      <c r="F1508" s="1327">
        <v>5</v>
      </c>
      <c r="G1508" s="1330">
        <v>7</v>
      </c>
    </row>
    <row r="1509" spans="1:7" x14ac:dyDescent="0.25">
      <c r="A1509" s="1427" t="s">
        <v>2714</v>
      </c>
      <c r="B1509" s="1536" t="s">
        <v>287</v>
      </c>
      <c r="C1509" s="1327"/>
      <c r="D1509" s="1328"/>
      <c r="E1509" s="1329"/>
      <c r="F1509" s="1327"/>
      <c r="G1509" s="1330"/>
    </row>
    <row r="1510" spans="1:7" ht="24" x14ac:dyDescent="0.25">
      <c r="A1510" s="1331" t="s">
        <v>2715</v>
      </c>
      <c r="B1510" s="1332" t="s">
        <v>485</v>
      </c>
      <c r="C1510" s="1333"/>
      <c r="D1510" s="1334"/>
      <c r="E1510" s="1335"/>
      <c r="F1510" s="1336"/>
      <c r="G1510" s="1330"/>
    </row>
    <row r="1511" spans="1:7" ht="24" x14ac:dyDescent="0.25">
      <c r="A1511" s="1331" t="s">
        <v>2716</v>
      </c>
      <c r="B1511" s="1332" t="s">
        <v>2713</v>
      </c>
      <c r="C1511" s="1333"/>
      <c r="D1511" s="1334"/>
      <c r="E1511" s="1335"/>
      <c r="F1511" s="1336"/>
      <c r="G1511" s="1330"/>
    </row>
    <row r="1512" spans="1:7" ht="15.75" thickBot="1" x14ac:dyDescent="0.3">
      <c r="A1512" s="1338"/>
      <c r="B1512" s="1339" t="s">
        <v>2248</v>
      </c>
      <c r="C1512" s="1337">
        <v>1</v>
      </c>
      <c r="D1512" s="1334" t="s">
        <v>473</v>
      </c>
      <c r="E1512" s="1335">
        <v>115140</v>
      </c>
      <c r="F1512" s="1336">
        <f>E1512*C1512</f>
        <v>115140</v>
      </c>
      <c r="G1512" s="1330"/>
    </row>
    <row r="1513" spans="1:7" ht="15.75" thickBot="1" x14ac:dyDescent="0.3">
      <c r="A1513" s="1340"/>
      <c r="B1513" s="1845" t="s">
        <v>548</v>
      </c>
      <c r="C1513" s="1846"/>
      <c r="D1513" s="1846"/>
      <c r="E1513" s="1847"/>
      <c r="F1513" s="1341">
        <f>SUM(F1512:F1512)</f>
        <v>115140</v>
      </c>
      <c r="G1513" s="1330"/>
    </row>
    <row r="1514" spans="1:7" x14ac:dyDescent="0.25">
      <c r="A1514" s="1331" t="s">
        <v>2298</v>
      </c>
      <c r="B1514" s="1355" t="s">
        <v>1491</v>
      </c>
      <c r="C1514" s="1343"/>
      <c r="D1514" s="1344"/>
      <c r="E1514" s="1340"/>
      <c r="F1514" s="1345"/>
      <c r="G1514" s="1330"/>
    </row>
    <row r="1515" spans="1:7" x14ac:dyDescent="0.25">
      <c r="A1515" s="1340"/>
      <c r="B1515" s="1356" t="s">
        <v>1502</v>
      </c>
      <c r="C1515" s="1327">
        <v>342</v>
      </c>
      <c r="D1515" s="1328" t="s">
        <v>1495</v>
      </c>
      <c r="E1515" s="1357">
        <v>130000</v>
      </c>
      <c r="F1515" s="1336">
        <f t="shared" ref="F1515:F1520" si="15">E1515*C1515</f>
        <v>44460000</v>
      </c>
      <c r="G1515" s="1330"/>
    </row>
    <row r="1516" spans="1:7" x14ac:dyDescent="0.25">
      <c r="A1516" s="1340"/>
      <c r="B1516" s="1356" t="s">
        <v>1501</v>
      </c>
      <c r="C1516" s="1327">
        <v>33</v>
      </c>
      <c r="D1516" s="1328" t="s">
        <v>843</v>
      </c>
      <c r="E1516" s="1357">
        <v>380000</v>
      </c>
      <c r="F1516" s="1336">
        <f t="shared" si="15"/>
        <v>12540000</v>
      </c>
      <c r="G1516" s="1330"/>
    </row>
    <row r="1517" spans="1:7" x14ac:dyDescent="0.25">
      <c r="A1517" s="1340"/>
      <c r="B1517" s="1339" t="s">
        <v>1493</v>
      </c>
      <c r="C1517" s="1337">
        <v>11</v>
      </c>
      <c r="D1517" s="1334" t="s">
        <v>159</v>
      </c>
      <c r="E1517" s="1335">
        <v>3000</v>
      </c>
      <c r="F1517" s="1336">
        <f t="shared" si="15"/>
        <v>33000</v>
      </c>
      <c r="G1517" s="1330"/>
    </row>
    <row r="1518" spans="1:7" x14ac:dyDescent="0.25">
      <c r="A1518" s="1331"/>
      <c r="B1518" s="1339" t="s">
        <v>1503</v>
      </c>
      <c r="C1518" s="1337">
        <v>10</v>
      </c>
      <c r="D1518" s="1334" t="s">
        <v>110</v>
      </c>
      <c r="E1518" s="1335">
        <v>75000</v>
      </c>
      <c r="F1518" s="1336">
        <f t="shared" si="15"/>
        <v>750000</v>
      </c>
      <c r="G1518" s="1330"/>
    </row>
    <row r="1519" spans="1:7" x14ac:dyDescent="0.25">
      <c r="A1519" s="1358"/>
      <c r="B1519" s="1359" t="s">
        <v>1496</v>
      </c>
      <c r="C1519" s="1360">
        <v>1</v>
      </c>
      <c r="D1519" s="1361" t="s">
        <v>110</v>
      </c>
      <c r="E1519" s="1362">
        <v>250000</v>
      </c>
      <c r="F1519" s="1352">
        <f t="shared" si="15"/>
        <v>250000</v>
      </c>
      <c r="G1519" s="1330"/>
    </row>
    <row r="1520" spans="1:7" ht="15.75" thickBot="1" x14ac:dyDescent="0.3">
      <c r="A1520" s="1338"/>
      <c r="B1520" s="1359" t="s">
        <v>1497</v>
      </c>
      <c r="C1520" s="1360">
        <v>1</v>
      </c>
      <c r="D1520" s="1361" t="s">
        <v>110</v>
      </c>
      <c r="E1520" s="1362">
        <v>500000</v>
      </c>
      <c r="F1520" s="1352">
        <f t="shared" si="15"/>
        <v>500000</v>
      </c>
      <c r="G1520" s="1330"/>
    </row>
    <row r="1521" spans="1:12" ht="15.75" thickBot="1" x14ac:dyDescent="0.3">
      <c r="A1521" s="1343"/>
      <c r="B1521" s="1845" t="s">
        <v>548</v>
      </c>
      <c r="C1521" s="1846"/>
      <c r="D1521" s="1846"/>
      <c r="E1521" s="1847"/>
      <c r="F1521" s="1341">
        <f>SUM(F1515:F1520)</f>
        <v>58533000</v>
      </c>
      <c r="G1521" s="1354"/>
    </row>
    <row r="1522" spans="1:12" ht="15.75" thickBot="1" x14ac:dyDescent="0.3">
      <c r="A1522" s="1343"/>
      <c r="B1522" s="1845" t="s">
        <v>26</v>
      </c>
      <c r="C1522" s="1846"/>
      <c r="D1522" s="1846"/>
      <c r="E1522" s="1847"/>
      <c r="F1522" s="1341"/>
      <c r="G1522" s="1354" t="s">
        <v>1845</v>
      </c>
      <c r="L1522" s="172"/>
    </row>
    <row r="1523" spans="1:12" x14ac:dyDescent="0.25">
      <c r="A1523" s="116"/>
      <c r="B1523" s="116"/>
      <c r="C1523" s="116"/>
      <c r="D1523" s="116"/>
      <c r="E1523" s="116"/>
      <c r="F1523" s="1704"/>
      <c r="G1523" s="116"/>
    </row>
    <row r="1524" spans="1:12" x14ac:dyDescent="0.25">
      <c r="A1524" s="116"/>
      <c r="B1524" s="116"/>
      <c r="C1524" s="116"/>
      <c r="D1524" s="116"/>
      <c r="E1524" s="116"/>
      <c r="F1524" s="116"/>
      <c r="G1524" s="116"/>
    </row>
    <row r="1525" spans="1:12" x14ac:dyDescent="0.25">
      <c r="A1525" s="1852" t="s">
        <v>995</v>
      </c>
      <c r="B1525" s="1852"/>
      <c r="C1525" s="1852"/>
      <c r="D1525" s="1852"/>
      <c r="E1525" s="1852"/>
      <c r="F1525" s="1852"/>
      <c r="G1525" s="1852"/>
    </row>
    <row r="1526" spans="1:12" x14ac:dyDescent="0.25">
      <c r="A1526" s="1852" t="s">
        <v>1</v>
      </c>
      <c r="B1526" s="1852"/>
      <c r="C1526" s="1852"/>
      <c r="D1526" s="1852"/>
      <c r="E1526" s="1852"/>
      <c r="F1526" s="1852"/>
      <c r="G1526" s="1852"/>
    </row>
    <row r="1527" spans="1:12" x14ac:dyDescent="0.25">
      <c r="A1527" s="1852" t="s">
        <v>1425</v>
      </c>
      <c r="B1527" s="1852"/>
      <c r="C1527" s="1852"/>
      <c r="D1527" s="1852"/>
      <c r="E1527" s="1852"/>
      <c r="F1527" s="1852"/>
      <c r="G1527" s="1852"/>
    </row>
    <row r="1528" spans="1:12" x14ac:dyDescent="0.25">
      <c r="A1528" s="1307"/>
      <c r="B1528" s="1308"/>
      <c r="C1528" s="1309"/>
      <c r="D1528" s="1309"/>
      <c r="E1528" s="1310"/>
      <c r="F1528" s="1310"/>
      <c r="G1528" s="1310"/>
    </row>
    <row r="1529" spans="1:12" x14ac:dyDescent="0.25">
      <c r="A1529" s="1310" t="s">
        <v>1483</v>
      </c>
      <c r="B1529" s="1311"/>
      <c r="C1529" s="1312"/>
      <c r="D1529" s="1312"/>
      <c r="E1529" s="1313"/>
      <c r="F1529" s="1313"/>
      <c r="G1529" s="1310"/>
    </row>
    <row r="1530" spans="1:12" x14ac:dyDescent="0.25">
      <c r="A1530" s="1314" t="s">
        <v>712</v>
      </c>
      <c r="B1530" s="1315" t="s">
        <v>1504</v>
      </c>
      <c r="C1530" s="1312"/>
      <c r="D1530" s="1312"/>
      <c r="E1530" s="1313" t="s">
        <v>1484</v>
      </c>
      <c r="F1530" s="1313"/>
      <c r="G1530" s="1310"/>
    </row>
    <row r="1531" spans="1:12" ht="60" x14ac:dyDescent="0.25">
      <c r="A1531" s="1316" t="s">
        <v>749</v>
      </c>
      <c r="B1531" s="1317" t="s">
        <v>2434</v>
      </c>
      <c r="C1531" s="1312"/>
      <c r="D1531" s="1312"/>
      <c r="E1531" s="1313" t="s">
        <v>1485</v>
      </c>
      <c r="F1531" s="1313"/>
      <c r="G1531" s="1314"/>
    </row>
    <row r="1532" spans="1:12" ht="24" x14ac:dyDescent="0.25">
      <c r="A1532" s="1316" t="s">
        <v>1486</v>
      </c>
      <c r="B1532" s="1317" t="s">
        <v>2358</v>
      </c>
      <c r="C1532" s="1312"/>
      <c r="D1532" s="1312">
        <f>84.4/43</f>
        <v>1.9627906976744187</v>
      </c>
      <c r="E1532" s="1313"/>
      <c r="F1532" s="1313"/>
      <c r="G1532" s="1314"/>
    </row>
    <row r="1533" spans="1:12" x14ac:dyDescent="0.25">
      <c r="A1533" s="1310" t="s">
        <v>1487</v>
      </c>
      <c r="B1533" s="1311" t="s">
        <v>61</v>
      </c>
      <c r="C1533" s="1312"/>
      <c r="D1533" s="1312"/>
      <c r="E1533" s="1310"/>
      <c r="F1533" s="1310"/>
      <c r="G1533" s="1310"/>
    </row>
    <row r="1534" spans="1:12" x14ac:dyDescent="0.25">
      <c r="A1534" s="1314" t="s">
        <v>62</v>
      </c>
      <c r="B1534" s="1315" t="s">
        <v>63</v>
      </c>
      <c r="C1534" s="1312"/>
      <c r="D1534" s="1312"/>
      <c r="E1534" s="1314"/>
      <c r="F1534" s="1314"/>
      <c r="G1534" s="1314"/>
    </row>
    <row r="1535" spans="1:12" x14ac:dyDescent="0.25">
      <c r="A1535" s="1318"/>
      <c r="B1535" s="1319"/>
      <c r="C1535" s="1320"/>
      <c r="D1535" s="1320"/>
      <c r="E1535" s="1318"/>
      <c r="F1535" s="1318"/>
      <c r="G1535" s="1318"/>
    </row>
    <row r="1536" spans="1:12" ht="24" x14ac:dyDescent="0.25">
      <c r="A1536" s="1321" t="s">
        <v>30</v>
      </c>
      <c r="B1536" s="1321" t="s">
        <v>11</v>
      </c>
      <c r="C1536" s="1855" t="s">
        <v>12</v>
      </c>
      <c r="D1536" s="1856"/>
      <c r="E1536" s="1323" t="s">
        <v>13</v>
      </c>
      <c r="F1536" s="1322" t="s">
        <v>14</v>
      </c>
      <c r="G1536" s="1324" t="s">
        <v>266</v>
      </c>
    </row>
    <row r="1537" spans="1:12" x14ac:dyDescent="0.25">
      <c r="A1537" s="1325">
        <v>1</v>
      </c>
      <c r="B1537" s="1326">
        <v>2</v>
      </c>
      <c r="C1537" s="1853">
        <v>3</v>
      </c>
      <c r="D1537" s="1854"/>
      <c r="E1537" s="1329">
        <v>4</v>
      </c>
      <c r="F1537" s="1327">
        <v>5</v>
      </c>
      <c r="G1537" s="1330">
        <v>7</v>
      </c>
    </row>
    <row r="1538" spans="1:12" x14ac:dyDescent="0.25">
      <c r="A1538" s="1427" t="s">
        <v>2714</v>
      </c>
      <c r="B1538" s="1536" t="s">
        <v>287</v>
      </c>
      <c r="C1538" s="1327"/>
      <c r="D1538" s="1328"/>
      <c r="E1538" s="1329"/>
      <c r="F1538" s="1327"/>
      <c r="G1538" s="1330"/>
    </row>
    <row r="1539" spans="1:12" ht="24" x14ac:dyDescent="0.25">
      <c r="A1539" s="1331" t="s">
        <v>2715</v>
      </c>
      <c r="B1539" s="1332" t="s">
        <v>485</v>
      </c>
      <c r="C1539" s="1333"/>
      <c r="D1539" s="1334"/>
      <c r="E1539" s="1335"/>
      <c r="F1539" s="1336"/>
      <c r="G1539" s="1330"/>
    </row>
    <row r="1540" spans="1:12" ht="24" x14ac:dyDescent="0.25">
      <c r="A1540" s="1331" t="s">
        <v>2716</v>
      </c>
      <c r="B1540" s="1332" t="s">
        <v>2713</v>
      </c>
      <c r="C1540" s="1333"/>
      <c r="D1540" s="1334"/>
      <c r="E1540" s="1335"/>
      <c r="F1540" s="1336"/>
      <c r="G1540" s="1330"/>
    </row>
    <row r="1541" spans="1:12" ht="15.75" thickBot="1" x14ac:dyDescent="0.3">
      <c r="A1541" s="1338"/>
      <c r="B1541" s="1339" t="s">
        <v>2248</v>
      </c>
      <c r="C1541" s="1337">
        <v>1</v>
      </c>
      <c r="D1541" s="1334" t="s">
        <v>222</v>
      </c>
      <c r="E1541" s="1335">
        <v>86050</v>
      </c>
      <c r="F1541" s="1336">
        <f>E1541*C1541</f>
        <v>86050</v>
      </c>
      <c r="G1541" s="1330"/>
    </row>
    <row r="1542" spans="1:12" ht="15.75" thickBot="1" x14ac:dyDescent="0.3">
      <c r="A1542" s="1742"/>
      <c r="B1542" s="1845" t="s">
        <v>548</v>
      </c>
      <c r="C1542" s="1846"/>
      <c r="D1542" s="1846"/>
      <c r="E1542" s="1851"/>
      <c r="F1542" s="1701">
        <f>SUM(F1541:F1541)</f>
        <v>86050</v>
      </c>
      <c r="G1542" s="1330"/>
    </row>
    <row r="1543" spans="1:12" x14ac:dyDescent="0.25">
      <c r="A1543" s="1358" t="s">
        <v>2251</v>
      </c>
      <c r="B1543" s="1355" t="s">
        <v>1491</v>
      </c>
      <c r="C1543" s="1343"/>
      <c r="D1543" s="1344"/>
      <c r="E1543" s="1340"/>
      <c r="F1543" s="1345"/>
      <c r="G1543" s="1330"/>
    </row>
    <row r="1544" spans="1:12" ht="16.5" x14ac:dyDescent="0.25">
      <c r="A1544" s="1358"/>
      <c r="B1544" s="1364" t="s">
        <v>2253</v>
      </c>
      <c r="C1544" s="1343">
        <v>652</v>
      </c>
      <c r="D1544" s="1344" t="s">
        <v>2265</v>
      </c>
      <c r="E1544" s="1365">
        <v>3000</v>
      </c>
      <c r="F1544" s="1345">
        <f>E1544*C1544</f>
        <v>1956000</v>
      </c>
      <c r="G1544" s="1330"/>
    </row>
    <row r="1545" spans="1:12" ht="16.5" x14ac:dyDescent="0.25">
      <c r="A1545" s="1358"/>
      <c r="B1545" s="1366" t="s">
        <v>2266</v>
      </c>
      <c r="C1545" s="1343">
        <v>1</v>
      </c>
      <c r="D1545" s="1344" t="s">
        <v>843</v>
      </c>
      <c r="E1545" s="1365">
        <v>325000</v>
      </c>
      <c r="F1545" s="1345">
        <f>E1545*C1545</f>
        <v>325000</v>
      </c>
      <c r="G1545" s="1330"/>
    </row>
    <row r="1546" spans="1:12" ht="16.5" x14ac:dyDescent="0.25">
      <c r="A1546" s="1358"/>
      <c r="B1546" s="1364" t="s">
        <v>2267</v>
      </c>
      <c r="C1546" s="1343">
        <v>1.5</v>
      </c>
      <c r="D1546" s="1344" t="s">
        <v>843</v>
      </c>
      <c r="E1546" s="1365">
        <v>350000</v>
      </c>
      <c r="F1546" s="1345">
        <f>E1546*C1546</f>
        <v>525000</v>
      </c>
      <c r="G1546" s="1330"/>
    </row>
    <row r="1547" spans="1:12" ht="15.75" thickBot="1" x14ac:dyDescent="0.3">
      <c r="A1547" s="1338"/>
      <c r="B1547" s="1359"/>
      <c r="C1547" s="1360"/>
      <c r="D1547" s="1361"/>
      <c r="E1547" s="1362"/>
      <c r="F1547" s="1352"/>
      <c r="G1547" s="1330"/>
    </row>
    <row r="1548" spans="1:12" ht="15.75" thickBot="1" x14ac:dyDescent="0.3">
      <c r="A1548" s="1343"/>
      <c r="B1548" s="1845" t="s">
        <v>548</v>
      </c>
      <c r="C1548" s="1846"/>
      <c r="D1548" s="1846"/>
      <c r="E1548" s="1847"/>
      <c r="F1548" s="1341">
        <f>SUM(F1544:F1546)</f>
        <v>2806000</v>
      </c>
      <c r="G1548" s="1354"/>
    </row>
    <row r="1549" spans="1:12" x14ac:dyDescent="0.25">
      <c r="A1549" s="1343"/>
      <c r="B1549" s="1845" t="s">
        <v>26</v>
      </c>
      <c r="C1549" s="1846"/>
      <c r="D1549" s="1846"/>
      <c r="E1549" s="1847"/>
      <c r="F1549" s="1341"/>
      <c r="G1549" s="1354" t="s">
        <v>1845</v>
      </c>
      <c r="L1549" s="172"/>
    </row>
    <row r="1550" spans="1:12" x14ac:dyDescent="0.25">
      <c r="A1550" s="116"/>
      <c r="B1550" s="116"/>
      <c r="C1550" s="116"/>
      <c r="D1550" s="116"/>
      <c r="E1550" s="116"/>
      <c r="F1550" s="116"/>
      <c r="G1550" s="116"/>
    </row>
    <row r="1551" spans="1:12" x14ac:dyDescent="0.25">
      <c r="A1551" s="116"/>
      <c r="B1551" s="116"/>
      <c r="C1551" s="116"/>
      <c r="D1551" s="116"/>
      <c r="E1551" s="116"/>
      <c r="F1551" s="116"/>
      <c r="G1551" s="116"/>
    </row>
    <row r="1552" spans="1:12" x14ac:dyDescent="0.25">
      <c r="A1552" s="116"/>
      <c r="B1552" s="116"/>
      <c r="C1552" s="116"/>
      <c r="D1552" s="116"/>
      <c r="E1552" s="116"/>
      <c r="F1552" s="116"/>
      <c r="G1552" s="116"/>
    </row>
    <row r="1553" spans="1:7" x14ac:dyDescent="0.25">
      <c r="A1553" s="1852" t="s">
        <v>995</v>
      </c>
      <c r="B1553" s="1852"/>
      <c r="C1553" s="1852"/>
      <c r="D1553" s="1852"/>
      <c r="E1553" s="1852"/>
      <c r="F1553" s="1852"/>
      <c r="G1553" s="1852"/>
    </row>
    <row r="1554" spans="1:7" x14ac:dyDescent="0.25">
      <c r="A1554" s="1852" t="s">
        <v>1</v>
      </c>
      <c r="B1554" s="1852"/>
      <c r="C1554" s="1852"/>
      <c r="D1554" s="1852"/>
      <c r="E1554" s="1852"/>
      <c r="F1554" s="1852"/>
      <c r="G1554" s="1852"/>
    </row>
    <row r="1555" spans="1:7" x14ac:dyDescent="0.25">
      <c r="A1555" s="1852" t="s">
        <v>1425</v>
      </c>
      <c r="B1555" s="1852"/>
      <c r="C1555" s="1852"/>
      <c r="D1555" s="1852"/>
      <c r="E1555" s="1852"/>
      <c r="F1555" s="1852"/>
      <c r="G1555" s="1852"/>
    </row>
    <row r="1556" spans="1:7" x14ac:dyDescent="0.25">
      <c r="A1556" s="1307"/>
      <c r="B1556" s="1308"/>
      <c r="C1556" s="1309"/>
      <c r="D1556" s="1309"/>
      <c r="E1556" s="1310"/>
      <c r="F1556" s="1310"/>
      <c r="G1556" s="1310"/>
    </row>
    <row r="1557" spans="1:7" x14ac:dyDescent="0.25">
      <c r="A1557" s="1310" t="s">
        <v>1483</v>
      </c>
      <c r="B1557" s="1311"/>
      <c r="C1557" s="1312"/>
      <c r="D1557" s="1312"/>
      <c r="E1557" s="1313"/>
      <c r="F1557" s="1313"/>
      <c r="G1557" s="1310"/>
    </row>
    <row r="1558" spans="1:7" x14ac:dyDescent="0.25">
      <c r="A1558" s="1314" t="s">
        <v>712</v>
      </c>
      <c r="B1558" s="1315" t="s">
        <v>1504</v>
      </c>
      <c r="C1558" s="1312"/>
      <c r="D1558" s="1312"/>
      <c r="E1558" s="1313" t="s">
        <v>1484</v>
      </c>
      <c r="F1558" s="1313"/>
      <c r="G1558" s="1310"/>
    </row>
    <row r="1559" spans="1:7" ht="60" x14ac:dyDescent="0.25">
      <c r="A1559" s="1316" t="s">
        <v>749</v>
      </c>
      <c r="B1559" s="1317" t="s">
        <v>2359</v>
      </c>
      <c r="C1559" s="1312"/>
      <c r="D1559" s="1312"/>
      <c r="E1559" s="1313" t="s">
        <v>1485</v>
      </c>
      <c r="F1559" s="1313"/>
      <c r="G1559" s="1314"/>
    </row>
    <row r="1560" spans="1:7" ht="24" x14ac:dyDescent="0.25">
      <c r="A1560" s="1316" t="s">
        <v>1486</v>
      </c>
      <c r="B1560" s="1317" t="s">
        <v>2360</v>
      </c>
      <c r="C1560" s="1312"/>
      <c r="D1560" s="1312"/>
      <c r="E1560" s="1313"/>
      <c r="F1560" s="1313"/>
      <c r="G1560" s="1314"/>
    </row>
    <row r="1561" spans="1:7" x14ac:dyDescent="0.25">
      <c r="A1561" s="1310" t="s">
        <v>1487</v>
      </c>
      <c r="B1561" s="1311" t="s">
        <v>61</v>
      </c>
      <c r="C1561" s="1312"/>
      <c r="D1561" s="1312"/>
      <c r="E1561" s="1310"/>
      <c r="F1561" s="1310"/>
      <c r="G1561" s="1310"/>
    </row>
    <row r="1562" spans="1:7" x14ac:dyDescent="0.25">
      <c r="A1562" s="1314" t="s">
        <v>62</v>
      </c>
      <c r="B1562" s="1315" t="s">
        <v>63</v>
      </c>
      <c r="C1562" s="1312"/>
      <c r="D1562" s="1312"/>
      <c r="E1562" s="1314"/>
      <c r="F1562" s="1314"/>
      <c r="G1562" s="1314"/>
    </row>
    <row r="1563" spans="1:7" x14ac:dyDescent="0.25">
      <c r="A1563" s="1318"/>
      <c r="B1563" s="1319"/>
      <c r="C1563" s="1320"/>
      <c r="D1563" s="1320"/>
      <c r="E1563" s="1318"/>
      <c r="F1563" s="1318"/>
      <c r="G1563" s="1318"/>
    </row>
    <row r="1564" spans="1:7" ht="24" x14ac:dyDescent="0.25">
      <c r="A1564" s="1321" t="s">
        <v>30</v>
      </c>
      <c r="B1564" s="1321" t="s">
        <v>11</v>
      </c>
      <c r="C1564" s="1855" t="s">
        <v>12</v>
      </c>
      <c r="D1564" s="1856"/>
      <c r="E1564" s="1323" t="s">
        <v>13</v>
      </c>
      <c r="F1564" s="1322" t="s">
        <v>14</v>
      </c>
      <c r="G1564" s="1324" t="s">
        <v>266</v>
      </c>
    </row>
    <row r="1565" spans="1:7" x14ac:dyDescent="0.25">
      <c r="A1565" s="1325">
        <v>1</v>
      </c>
      <c r="B1565" s="1326">
        <v>2</v>
      </c>
      <c r="C1565" s="1853">
        <v>3</v>
      </c>
      <c r="D1565" s="1854"/>
      <c r="E1565" s="1329">
        <v>4</v>
      </c>
      <c r="F1565" s="1327">
        <v>5</v>
      </c>
      <c r="G1565" s="1330">
        <v>7</v>
      </c>
    </row>
    <row r="1566" spans="1:7" x14ac:dyDescent="0.25">
      <c r="A1566" s="1331" t="s">
        <v>2288</v>
      </c>
      <c r="B1566" s="1332" t="s">
        <v>1505</v>
      </c>
      <c r="C1566" s="1333"/>
      <c r="D1566" s="1334"/>
      <c r="E1566" s="1335"/>
      <c r="F1566" s="1336"/>
      <c r="G1566" s="1330"/>
    </row>
    <row r="1567" spans="1:7" x14ac:dyDescent="0.25">
      <c r="A1567" s="1331" t="s">
        <v>2289</v>
      </c>
      <c r="B1567" s="1332" t="s">
        <v>2246</v>
      </c>
      <c r="C1567" s="1333"/>
      <c r="D1567" s="1334"/>
      <c r="E1567" s="1335"/>
      <c r="F1567" s="1336"/>
      <c r="G1567" s="1330"/>
    </row>
    <row r="1568" spans="1:7" ht="24" x14ac:dyDescent="0.25">
      <c r="A1568" s="1331" t="s">
        <v>2290</v>
      </c>
      <c r="B1568" s="1332" t="s">
        <v>1499</v>
      </c>
      <c r="C1568" s="1337"/>
      <c r="D1568" s="1334"/>
      <c r="E1568" s="1335"/>
      <c r="F1568" s="1336"/>
      <c r="G1568" s="1330"/>
    </row>
    <row r="1569" spans="1:7" ht="15.75" thickBot="1" x14ac:dyDescent="0.3">
      <c r="A1569" s="1338"/>
      <c r="B1569" s="1339" t="s">
        <v>2248</v>
      </c>
      <c r="C1569" s="1337">
        <v>1</v>
      </c>
      <c r="D1569" s="1334" t="s">
        <v>222</v>
      </c>
      <c r="E1569" s="1335">
        <v>300000</v>
      </c>
      <c r="F1569" s="1336">
        <f>E1569*C1569</f>
        <v>300000</v>
      </c>
      <c r="G1569" s="1330"/>
    </row>
    <row r="1570" spans="1:7" ht="15.75" thickBot="1" x14ac:dyDescent="0.3">
      <c r="A1570" s="1340"/>
      <c r="B1570" s="1845" t="s">
        <v>548</v>
      </c>
      <c r="C1570" s="1846"/>
      <c r="D1570" s="1846"/>
      <c r="E1570" s="1847"/>
      <c r="F1570" s="1341">
        <f>SUM(F1569:F1569)</f>
        <v>300000</v>
      </c>
      <c r="G1570" s="1330"/>
    </row>
    <row r="1571" spans="1:7" x14ac:dyDescent="0.25">
      <c r="A1571" s="1331" t="s">
        <v>2291</v>
      </c>
      <c r="B1571" s="1342" t="s">
        <v>1488</v>
      </c>
      <c r="C1571" s="1343"/>
      <c r="D1571" s="1344"/>
      <c r="E1571" s="1340"/>
      <c r="F1571" s="1345"/>
      <c r="G1571" s="1330"/>
    </row>
    <row r="1572" spans="1:7" ht="15.75" thickBot="1" x14ac:dyDescent="0.3">
      <c r="A1572" s="1331"/>
      <c r="B1572" s="1348" t="s">
        <v>1490</v>
      </c>
      <c r="C1572" s="1349">
        <v>4</v>
      </c>
      <c r="D1572" s="1350" t="s">
        <v>419</v>
      </c>
      <c r="E1572" s="1351">
        <v>130000</v>
      </c>
      <c r="F1572" s="1352">
        <f>E1572*C1572</f>
        <v>520000</v>
      </c>
      <c r="G1572" s="1330"/>
    </row>
    <row r="1573" spans="1:7" ht="15.75" thickBot="1" x14ac:dyDescent="0.3">
      <c r="A1573" s="1353"/>
      <c r="B1573" s="1842" t="s">
        <v>548</v>
      </c>
      <c r="C1573" s="1843"/>
      <c r="D1573" s="1843"/>
      <c r="E1573" s="1844"/>
      <c r="F1573" s="1341">
        <f>SUM(F1572:F1572)</f>
        <v>520000</v>
      </c>
      <c r="G1573" s="1354"/>
    </row>
    <row r="1574" spans="1:7" ht="15.75" thickBot="1" x14ac:dyDescent="0.3">
      <c r="A1574" s="1338"/>
      <c r="B1574" s="1359"/>
      <c r="C1574" s="1360"/>
      <c r="D1574" s="1361"/>
      <c r="E1574" s="1362"/>
      <c r="F1574" s="1352"/>
      <c r="G1574" s="1330"/>
    </row>
    <row r="1575" spans="1:7" ht="15.75" thickBot="1" x14ac:dyDescent="0.3">
      <c r="A1575" s="1343"/>
      <c r="B1575" s="1845" t="s">
        <v>26</v>
      </c>
      <c r="C1575" s="1846"/>
      <c r="D1575" s="1846"/>
      <c r="E1575" s="1847"/>
      <c r="F1575" s="1341"/>
      <c r="G1575" s="1354"/>
    </row>
    <row r="1578" spans="1:7" x14ac:dyDescent="0.25">
      <c r="F1578" s="172">
        <f>F26+F59+F103+F141+F209+F342+F382+F414+F444+F467+F490+F536+F619+F687+F723+F744+F780+F816+F857+F897+F947+F989</f>
        <v>3536201669</v>
      </c>
    </row>
  </sheetData>
  <mergeCells count="520">
    <mergeCell ref="A953:B953"/>
    <mergeCell ref="E953:F953"/>
    <mergeCell ref="A954:B954"/>
    <mergeCell ref="D954:F954"/>
    <mergeCell ref="A990:B990"/>
    <mergeCell ref="D990:F990"/>
    <mergeCell ref="A858:B858"/>
    <mergeCell ref="D858:F858"/>
    <mergeCell ref="A859:B859"/>
    <mergeCell ref="D859:F859"/>
    <mergeCell ref="A862:B862"/>
    <mergeCell ref="E862:F862"/>
    <mergeCell ref="A863:B863"/>
    <mergeCell ref="D863:F863"/>
    <mergeCell ref="C833:D833"/>
    <mergeCell ref="A818:B818"/>
    <mergeCell ref="D818:F818"/>
    <mergeCell ref="A821:B821"/>
    <mergeCell ref="E821:F821"/>
    <mergeCell ref="A787:G787"/>
    <mergeCell ref="A788:G788"/>
    <mergeCell ref="A789:G789"/>
    <mergeCell ref="A822:B822"/>
    <mergeCell ref="D822:F822"/>
    <mergeCell ref="A781:B781"/>
    <mergeCell ref="D781:F781"/>
    <mergeCell ref="A782:B782"/>
    <mergeCell ref="D782:F782"/>
    <mergeCell ref="A785:B785"/>
    <mergeCell ref="E785:F785"/>
    <mergeCell ref="A786:B786"/>
    <mergeCell ref="D786:F786"/>
    <mergeCell ref="A817:B817"/>
    <mergeCell ref="D817:F817"/>
    <mergeCell ref="D795:E795"/>
    <mergeCell ref="C797:D797"/>
    <mergeCell ref="C798:D798"/>
    <mergeCell ref="B816:E816"/>
    <mergeCell ref="A383:B383"/>
    <mergeCell ref="D383:F383"/>
    <mergeCell ref="A384:B384"/>
    <mergeCell ref="D384:F384"/>
    <mergeCell ref="A387:B387"/>
    <mergeCell ref="E387:F387"/>
    <mergeCell ref="A388:B388"/>
    <mergeCell ref="D388:F388"/>
    <mergeCell ref="A415:B415"/>
    <mergeCell ref="D415:F415"/>
    <mergeCell ref="A343:B343"/>
    <mergeCell ref="D343:F343"/>
    <mergeCell ref="A344:B344"/>
    <mergeCell ref="D344:F344"/>
    <mergeCell ref="A347:B347"/>
    <mergeCell ref="E347:F347"/>
    <mergeCell ref="A348:B348"/>
    <mergeCell ref="D348:F348"/>
    <mergeCell ref="A211:B211"/>
    <mergeCell ref="D211:F211"/>
    <mergeCell ref="A214:B214"/>
    <mergeCell ref="E214:F214"/>
    <mergeCell ref="A215:B215"/>
    <mergeCell ref="D215:F215"/>
    <mergeCell ref="A216:G216"/>
    <mergeCell ref="A217:G217"/>
    <mergeCell ref="A218:G218"/>
    <mergeCell ref="D224:E224"/>
    <mergeCell ref="C225:D225"/>
    <mergeCell ref="C226:D226"/>
    <mergeCell ref="B263:E263"/>
    <mergeCell ref="A264:B264"/>
    <mergeCell ref="D264:F264"/>
    <mergeCell ref="A142:B142"/>
    <mergeCell ref="D142:F142"/>
    <mergeCell ref="A143:B143"/>
    <mergeCell ref="D143:F143"/>
    <mergeCell ref="A146:B146"/>
    <mergeCell ref="E146:F146"/>
    <mergeCell ref="A147:B147"/>
    <mergeCell ref="D147:F147"/>
    <mergeCell ref="A210:B210"/>
    <mergeCell ref="D210:F210"/>
    <mergeCell ref="A177:B177"/>
    <mergeCell ref="D177:F177"/>
    <mergeCell ref="A178:B178"/>
    <mergeCell ref="D178:F178"/>
    <mergeCell ref="A181:B181"/>
    <mergeCell ref="E181:F181"/>
    <mergeCell ref="A182:B182"/>
    <mergeCell ref="D182:F182"/>
    <mergeCell ref="A183:G183"/>
    <mergeCell ref="A184:G184"/>
    <mergeCell ref="A185:G185"/>
    <mergeCell ref="D191:E191"/>
    <mergeCell ref="C193:D193"/>
    <mergeCell ref="C194:D194"/>
    <mergeCell ref="A60:B60"/>
    <mergeCell ref="D60:F60"/>
    <mergeCell ref="A61:B61"/>
    <mergeCell ref="D61:F61"/>
    <mergeCell ref="A64:B64"/>
    <mergeCell ref="E64:F64"/>
    <mergeCell ref="A65:B65"/>
    <mergeCell ref="D65:F65"/>
    <mergeCell ref="A104:B104"/>
    <mergeCell ref="D104:F104"/>
    <mergeCell ref="C76:D76"/>
    <mergeCell ref="C77:D77"/>
    <mergeCell ref="B103:E103"/>
    <mergeCell ref="A823:F823"/>
    <mergeCell ref="A824:F824"/>
    <mergeCell ref="A996:G996"/>
    <mergeCell ref="A997:G997"/>
    <mergeCell ref="B414:E414"/>
    <mergeCell ref="A451:F451"/>
    <mergeCell ref="A468:B468"/>
    <mergeCell ref="D468:F468"/>
    <mergeCell ref="A469:B469"/>
    <mergeCell ref="D469:F469"/>
    <mergeCell ref="A472:B472"/>
    <mergeCell ref="E472:F472"/>
    <mergeCell ref="A473:B473"/>
    <mergeCell ref="D473:F473"/>
    <mergeCell ref="A491:B491"/>
    <mergeCell ref="D491:F491"/>
    <mergeCell ref="A492:B492"/>
    <mergeCell ref="D492:F492"/>
    <mergeCell ref="A495:B495"/>
    <mergeCell ref="E495:F495"/>
    <mergeCell ref="A421:G421"/>
    <mergeCell ref="A422:G422"/>
    <mergeCell ref="A423:G423"/>
    <mergeCell ref="D429:E429"/>
    <mergeCell ref="D42:E42"/>
    <mergeCell ref="A148:G148"/>
    <mergeCell ref="A149:G149"/>
    <mergeCell ref="A150:G150"/>
    <mergeCell ref="D156:E156"/>
    <mergeCell ref="C158:D158"/>
    <mergeCell ref="C159:D159"/>
    <mergeCell ref="B176:E176"/>
    <mergeCell ref="B141:E141"/>
    <mergeCell ref="A110:G110"/>
    <mergeCell ref="A111:G111"/>
    <mergeCell ref="A112:G112"/>
    <mergeCell ref="D118:E118"/>
    <mergeCell ref="C44:D44"/>
    <mergeCell ref="C45:D45"/>
    <mergeCell ref="C58:D58"/>
    <mergeCell ref="B59:E59"/>
    <mergeCell ref="C120:D120"/>
    <mergeCell ref="C121:D121"/>
    <mergeCell ref="A67:G67"/>
    <mergeCell ref="A68:G68"/>
    <mergeCell ref="A69:G69"/>
    <mergeCell ref="B72:C72"/>
    <mergeCell ref="D75:E75"/>
    <mergeCell ref="A34:G34"/>
    <mergeCell ref="A35:G35"/>
    <mergeCell ref="A36:G36"/>
    <mergeCell ref="A1:G1"/>
    <mergeCell ref="A2:G2"/>
    <mergeCell ref="A3:G3"/>
    <mergeCell ref="D9:E9"/>
    <mergeCell ref="C11:D11"/>
    <mergeCell ref="C12:D12"/>
    <mergeCell ref="C25:D25"/>
    <mergeCell ref="B26:E26"/>
    <mergeCell ref="A27:B27"/>
    <mergeCell ref="D27:F27"/>
    <mergeCell ref="A28:B28"/>
    <mergeCell ref="D28:F28"/>
    <mergeCell ref="A31:B31"/>
    <mergeCell ref="E31:F31"/>
    <mergeCell ref="A32:B32"/>
    <mergeCell ref="D32:F32"/>
    <mergeCell ref="B209:E209"/>
    <mergeCell ref="A390:G390"/>
    <mergeCell ref="A352:G352"/>
    <mergeCell ref="B355:C355"/>
    <mergeCell ref="D358:E358"/>
    <mergeCell ref="A350:G350"/>
    <mergeCell ref="A270:G270"/>
    <mergeCell ref="A271:G271"/>
    <mergeCell ref="A272:G272"/>
    <mergeCell ref="B275:C275"/>
    <mergeCell ref="D278:E278"/>
    <mergeCell ref="C279:D279"/>
    <mergeCell ref="C280:D280"/>
    <mergeCell ref="B342:E342"/>
    <mergeCell ref="C360:D360"/>
    <mergeCell ref="C361:D361"/>
    <mergeCell ref="B382:E382"/>
    <mergeCell ref="A389:G389"/>
    <mergeCell ref="A265:B265"/>
    <mergeCell ref="D265:F265"/>
    <mergeCell ref="A268:B268"/>
    <mergeCell ref="E268:F268"/>
    <mergeCell ref="A269:B269"/>
    <mergeCell ref="D269:F269"/>
    <mergeCell ref="A105:B105"/>
    <mergeCell ref="D105:F105"/>
    <mergeCell ref="A108:B108"/>
    <mergeCell ref="E108:F108"/>
    <mergeCell ref="A109:B109"/>
    <mergeCell ref="D109:F109"/>
    <mergeCell ref="A626:G626"/>
    <mergeCell ref="A545:G545"/>
    <mergeCell ref="A546:G546"/>
    <mergeCell ref="D552:E552"/>
    <mergeCell ref="C553:D553"/>
    <mergeCell ref="C554:D554"/>
    <mergeCell ref="B619:E619"/>
    <mergeCell ref="B444:E444"/>
    <mergeCell ref="A445:B445"/>
    <mergeCell ref="D445:F445"/>
    <mergeCell ref="A446:B446"/>
    <mergeCell ref="D446:F446"/>
    <mergeCell ref="A449:B449"/>
    <mergeCell ref="E449:F449"/>
    <mergeCell ref="A450:B450"/>
    <mergeCell ref="D450:F450"/>
    <mergeCell ref="C483:D483"/>
    <mergeCell ref="A351:G351"/>
    <mergeCell ref="C430:D430"/>
    <mergeCell ref="D397:E397"/>
    <mergeCell ref="C399:D399"/>
    <mergeCell ref="C400:D400"/>
    <mergeCell ref="A391:G391"/>
    <mergeCell ref="A416:B416"/>
    <mergeCell ref="D416:F416"/>
    <mergeCell ref="A419:B419"/>
    <mergeCell ref="E419:F419"/>
    <mergeCell ref="A420:B420"/>
    <mergeCell ref="D420:F420"/>
    <mergeCell ref="C431:D431"/>
    <mergeCell ref="B536:E536"/>
    <mergeCell ref="A498:G498"/>
    <mergeCell ref="A499:G499"/>
    <mergeCell ref="A500:G500"/>
    <mergeCell ref="B501:C501"/>
    <mergeCell ref="C507:D507"/>
    <mergeCell ref="C508:D508"/>
    <mergeCell ref="A452:F452"/>
    <mergeCell ref="C484:D484"/>
    <mergeCell ref="A490:E490"/>
    <mergeCell ref="A496:B496"/>
    <mergeCell ref="D496:F496"/>
    <mergeCell ref="A453:F453"/>
    <mergeCell ref="A459:B459"/>
    <mergeCell ref="C460:D460"/>
    <mergeCell ref="C461:D461"/>
    <mergeCell ref="A467:E467"/>
    <mergeCell ref="A474:F474"/>
    <mergeCell ref="A475:F475"/>
    <mergeCell ref="A476:F476"/>
    <mergeCell ref="C762:D762"/>
    <mergeCell ref="B780:E780"/>
    <mergeCell ref="A724:B724"/>
    <mergeCell ref="D724:F724"/>
    <mergeCell ref="A725:B725"/>
    <mergeCell ref="D725:F725"/>
    <mergeCell ref="A728:B728"/>
    <mergeCell ref="E728:F728"/>
    <mergeCell ref="A729:B729"/>
    <mergeCell ref="D729:F729"/>
    <mergeCell ref="A745:B745"/>
    <mergeCell ref="A731:F731"/>
    <mergeCell ref="A732:F732"/>
    <mergeCell ref="C738:D738"/>
    <mergeCell ref="C739:D739"/>
    <mergeCell ref="A744:E744"/>
    <mergeCell ref="D746:F746"/>
    <mergeCell ref="A749:B749"/>
    <mergeCell ref="E749:F749"/>
    <mergeCell ref="A750:B750"/>
    <mergeCell ref="D750:F750"/>
    <mergeCell ref="A751:G751"/>
    <mergeCell ref="A752:G752"/>
    <mergeCell ref="A753:G753"/>
    <mergeCell ref="A730:F730"/>
    <mergeCell ref="B687:E687"/>
    <mergeCell ref="C635:D635"/>
    <mergeCell ref="C636:D636"/>
    <mergeCell ref="A621:B621"/>
    <mergeCell ref="C761:D761"/>
    <mergeCell ref="A624:B624"/>
    <mergeCell ref="E624:F624"/>
    <mergeCell ref="A625:B625"/>
    <mergeCell ref="D625:F625"/>
    <mergeCell ref="A688:B688"/>
    <mergeCell ref="D688:F688"/>
    <mergeCell ref="A689:B689"/>
    <mergeCell ref="D689:F689"/>
    <mergeCell ref="A692:B692"/>
    <mergeCell ref="E692:F692"/>
    <mergeCell ref="A693:B693"/>
    <mergeCell ref="D693:F693"/>
    <mergeCell ref="A627:G627"/>
    <mergeCell ref="A628:G628"/>
    <mergeCell ref="D634:E634"/>
    <mergeCell ref="A537:B537"/>
    <mergeCell ref="D537:F537"/>
    <mergeCell ref="A538:B538"/>
    <mergeCell ref="D538:F538"/>
    <mergeCell ref="A541:B541"/>
    <mergeCell ref="E541:F541"/>
    <mergeCell ref="A542:B542"/>
    <mergeCell ref="D542:F542"/>
    <mergeCell ref="A620:B620"/>
    <mergeCell ref="D620:F620"/>
    <mergeCell ref="A544:G544"/>
    <mergeCell ref="D621:F621"/>
    <mergeCell ref="B1036:E1036"/>
    <mergeCell ref="A1016:G1016"/>
    <mergeCell ref="A1017:G1017"/>
    <mergeCell ref="A1018:G1018"/>
    <mergeCell ref="C1027:D1027"/>
    <mergeCell ref="C1028:D1028"/>
    <mergeCell ref="B1033:E1033"/>
    <mergeCell ref="C876:D876"/>
    <mergeCell ref="A867:F867"/>
    <mergeCell ref="A868:F868"/>
    <mergeCell ref="C875:D875"/>
    <mergeCell ref="D745:F745"/>
    <mergeCell ref="A746:B746"/>
    <mergeCell ref="A866:F866"/>
    <mergeCell ref="A696:G696"/>
    <mergeCell ref="A697:G697"/>
    <mergeCell ref="A698:G698"/>
    <mergeCell ref="D704:E704"/>
    <mergeCell ref="C706:D706"/>
    <mergeCell ref="A825:F825"/>
    <mergeCell ref="C832:D832"/>
    <mergeCell ref="C707:D707"/>
    <mergeCell ref="B723:E723"/>
    <mergeCell ref="B1038:E1038"/>
    <mergeCell ref="A904:B904"/>
    <mergeCell ref="D904:F904"/>
    <mergeCell ref="A899:B899"/>
    <mergeCell ref="D899:F899"/>
    <mergeCell ref="A900:B900"/>
    <mergeCell ref="D900:F900"/>
    <mergeCell ref="A903:B903"/>
    <mergeCell ref="E903:F903"/>
    <mergeCell ref="A998:G998"/>
    <mergeCell ref="C1007:D1007"/>
    <mergeCell ref="C1008:D1008"/>
    <mergeCell ref="B1013:E1013"/>
    <mergeCell ref="B1014:E1014"/>
    <mergeCell ref="A991:B991"/>
    <mergeCell ref="D991:F991"/>
    <mergeCell ref="A994:B994"/>
    <mergeCell ref="E994:F994"/>
    <mergeCell ref="A995:B995"/>
    <mergeCell ref="D995:F995"/>
    <mergeCell ref="A949:B949"/>
    <mergeCell ref="D949:F949"/>
    <mergeCell ref="A950:B950"/>
    <mergeCell ref="D950:F950"/>
    <mergeCell ref="A1044:G1044"/>
    <mergeCell ref="A1045:G1045"/>
    <mergeCell ref="A1046:G1046"/>
    <mergeCell ref="C1055:D1055"/>
    <mergeCell ref="C1056:D1056"/>
    <mergeCell ref="B1061:E1061"/>
    <mergeCell ref="B1064:E1064"/>
    <mergeCell ref="B1066:E1066"/>
    <mergeCell ref="A1081:G1081"/>
    <mergeCell ref="A1082:G1082"/>
    <mergeCell ref="A1083:G1083"/>
    <mergeCell ref="C1092:D1092"/>
    <mergeCell ref="C1093:D1093"/>
    <mergeCell ref="B1098:E1098"/>
    <mergeCell ref="B1102:E1102"/>
    <mergeCell ref="B1103:E1103"/>
    <mergeCell ref="A1115:G1115"/>
    <mergeCell ref="A1116:G1116"/>
    <mergeCell ref="A1117:G1117"/>
    <mergeCell ref="C1126:D1126"/>
    <mergeCell ref="C1127:D1127"/>
    <mergeCell ref="B1133:E1133"/>
    <mergeCell ref="B1141:E1141"/>
    <mergeCell ref="B1142:E1142"/>
    <mergeCell ref="A1147:G1147"/>
    <mergeCell ref="A1148:G1148"/>
    <mergeCell ref="A1149:G1149"/>
    <mergeCell ref="C1158:D1158"/>
    <mergeCell ref="C1159:D1159"/>
    <mergeCell ref="B1166:E1166"/>
    <mergeCell ref="B1167:E1167"/>
    <mergeCell ref="A1172:G1172"/>
    <mergeCell ref="A1173:G1173"/>
    <mergeCell ref="A1174:G1174"/>
    <mergeCell ref="C1183:D1183"/>
    <mergeCell ref="C1184:D1184"/>
    <mergeCell ref="B1189:E1189"/>
    <mergeCell ref="B1199:E1199"/>
    <mergeCell ref="B1200:E1200"/>
    <mergeCell ref="A1214:G1214"/>
    <mergeCell ref="A1215:G1215"/>
    <mergeCell ref="A1216:G1216"/>
    <mergeCell ref="C1225:D1225"/>
    <mergeCell ref="C1226:D1226"/>
    <mergeCell ref="B1231:E1231"/>
    <mergeCell ref="B1241:E1241"/>
    <mergeCell ref="B1242:E1242"/>
    <mergeCell ref="A1246:G1246"/>
    <mergeCell ref="A1247:G1247"/>
    <mergeCell ref="A1248:G1248"/>
    <mergeCell ref="C1257:D1257"/>
    <mergeCell ref="C1258:D1258"/>
    <mergeCell ref="B1263:E1263"/>
    <mergeCell ref="B1273:E1273"/>
    <mergeCell ref="B1274:E1274"/>
    <mergeCell ref="A1282:G1282"/>
    <mergeCell ref="A1283:G1283"/>
    <mergeCell ref="A1284:G1284"/>
    <mergeCell ref="C1293:D1293"/>
    <mergeCell ref="C1294:D1294"/>
    <mergeCell ref="B1299:E1299"/>
    <mergeCell ref="B1304:E1304"/>
    <mergeCell ref="B1305:E1305"/>
    <mergeCell ref="A1309:G1309"/>
    <mergeCell ref="A1310:G1310"/>
    <mergeCell ref="A1311:G1311"/>
    <mergeCell ref="C1320:D1320"/>
    <mergeCell ref="C1321:D1321"/>
    <mergeCell ref="B1326:E1326"/>
    <mergeCell ref="B1331:E1331"/>
    <mergeCell ref="B1332:E1332"/>
    <mergeCell ref="A1335:G1335"/>
    <mergeCell ref="A1336:G1336"/>
    <mergeCell ref="A1337:G1337"/>
    <mergeCell ref="C1346:D1346"/>
    <mergeCell ref="C1347:D1347"/>
    <mergeCell ref="B1352:E1352"/>
    <mergeCell ref="B1355:E1355"/>
    <mergeCell ref="B1356:E1356"/>
    <mergeCell ref="B1357:E1357"/>
    <mergeCell ref="A1360:G1360"/>
    <mergeCell ref="A1361:G1361"/>
    <mergeCell ref="A1362:G1362"/>
    <mergeCell ref="C1371:D1371"/>
    <mergeCell ref="C1372:D1372"/>
    <mergeCell ref="B1377:E1377"/>
    <mergeCell ref="B1383:E1383"/>
    <mergeCell ref="B1384:E1384"/>
    <mergeCell ref="A1388:G1388"/>
    <mergeCell ref="A1389:G1389"/>
    <mergeCell ref="A1390:G1390"/>
    <mergeCell ref="C1399:D1399"/>
    <mergeCell ref="C1400:D1400"/>
    <mergeCell ref="B1405:E1405"/>
    <mergeCell ref="B1409:E1409"/>
    <mergeCell ref="B1410:E1410"/>
    <mergeCell ref="A1414:G1414"/>
    <mergeCell ref="A1415:G1415"/>
    <mergeCell ref="A1416:G1416"/>
    <mergeCell ref="C1425:D1425"/>
    <mergeCell ref="C1426:D1426"/>
    <mergeCell ref="B1431:E1431"/>
    <mergeCell ref="B1434:E1434"/>
    <mergeCell ref="B1435:E1435"/>
    <mergeCell ref="B1436:E1436"/>
    <mergeCell ref="A1440:G1440"/>
    <mergeCell ref="A1441:G1441"/>
    <mergeCell ref="A1442:G1442"/>
    <mergeCell ref="C1451:D1451"/>
    <mergeCell ref="C1452:D1452"/>
    <mergeCell ref="B1457:E1457"/>
    <mergeCell ref="B1462:E1462"/>
    <mergeCell ref="B1463:E1463"/>
    <mergeCell ref="A1469:G1469"/>
    <mergeCell ref="A1470:G1470"/>
    <mergeCell ref="A1471:G1471"/>
    <mergeCell ref="C1480:D1480"/>
    <mergeCell ref="C1481:D1481"/>
    <mergeCell ref="B1491:E1491"/>
    <mergeCell ref="B1492:E1492"/>
    <mergeCell ref="A1496:G1496"/>
    <mergeCell ref="A1497:G1497"/>
    <mergeCell ref="A1498:G1498"/>
    <mergeCell ref="B1485:E1485"/>
    <mergeCell ref="C1507:D1507"/>
    <mergeCell ref="C1564:D1564"/>
    <mergeCell ref="C1565:D1565"/>
    <mergeCell ref="B1570:E1570"/>
    <mergeCell ref="C1508:D1508"/>
    <mergeCell ref="B1513:E1513"/>
    <mergeCell ref="B1521:E1521"/>
    <mergeCell ref="B1522:E1522"/>
    <mergeCell ref="A1525:G1525"/>
    <mergeCell ref="A1526:G1526"/>
    <mergeCell ref="A1527:G1527"/>
    <mergeCell ref="C1536:D1536"/>
    <mergeCell ref="C1537:D1537"/>
    <mergeCell ref="B1573:E1573"/>
    <mergeCell ref="B1575:E1575"/>
    <mergeCell ref="A905:G905"/>
    <mergeCell ref="A906:G906"/>
    <mergeCell ref="A907:G907"/>
    <mergeCell ref="C916:D916"/>
    <mergeCell ref="C917:D917"/>
    <mergeCell ref="B924:E924"/>
    <mergeCell ref="B946:E946"/>
    <mergeCell ref="B947:E947"/>
    <mergeCell ref="A957:G957"/>
    <mergeCell ref="A958:G958"/>
    <mergeCell ref="A959:G959"/>
    <mergeCell ref="C968:D968"/>
    <mergeCell ref="C969:D969"/>
    <mergeCell ref="B976:E976"/>
    <mergeCell ref="B988:E988"/>
    <mergeCell ref="B989:E989"/>
    <mergeCell ref="B1542:E1542"/>
    <mergeCell ref="B1548:E1548"/>
    <mergeCell ref="B1549:E1549"/>
    <mergeCell ref="A1553:G1553"/>
    <mergeCell ref="A1554:G1554"/>
    <mergeCell ref="A1555:G1555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68"/>
  <sheetViews>
    <sheetView topLeftCell="A121" zoomScale="62" zoomScaleNormal="62" workbookViewId="0">
      <selection activeCell="B48" sqref="B48:B89"/>
    </sheetView>
  </sheetViews>
  <sheetFormatPr defaultRowHeight="15" x14ac:dyDescent="0.25"/>
  <cols>
    <col min="1" max="1" width="15" customWidth="1"/>
    <col min="2" max="2" width="21.140625" customWidth="1"/>
    <col min="3" max="3" width="13.42578125" customWidth="1"/>
    <col min="4" max="4" width="31.140625" customWidth="1"/>
    <col min="5" max="5" width="67.28515625" customWidth="1"/>
    <col min="6" max="6" width="17.42578125" customWidth="1"/>
    <col min="7" max="7" width="12.5703125" style="5" customWidth="1"/>
    <col min="8" max="8" width="13" style="97" customWidth="1"/>
    <col min="9" max="9" width="11.42578125" style="97" customWidth="1"/>
    <col min="10" max="10" width="10.5703125" style="97" customWidth="1"/>
    <col min="11" max="11" width="10.28515625" style="94" customWidth="1"/>
    <col min="12" max="12" width="24.85546875" style="83" bestFit="1" customWidth="1"/>
    <col min="13" max="13" width="13.85546875" customWidth="1"/>
  </cols>
  <sheetData>
    <row r="1" spans="1:13" s="45" customFormat="1" ht="18.75" x14ac:dyDescent="0.3">
      <c r="A1" s="2119" t="s">
        <v>1244</v>
      </c>
      <c r="B1" s="2119"/>
      <c r="C1" s="2119"/>
      <c r="D1" s="2119"/>
      <c r="E1" s="2119"/>
      <c r="F1" s="2119"/>
      <c r="G1" s="2119"/>
      <c r="H1" s="2119"/>
      <c r="I1" s="2119"/>
      <c r="J1" s="2119"/>
      <c r="K1" s="2119"/>
      <c r="L1" s="2119"/>
      <c r="M1" s="2119"/>
    </row>
    <row r="2" spans="1:13" s="45" customFormat="1" ht="18.75" x14ac:dyDescent="0.3">
      <c r="A2" s="2119" t="s">
        <v>1226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  <c r="M2" s="2119"/>
    </row>
    <row r="3" spans="1:13" s="7" customFormat="1" ht="15.75" x14ac:dyDescent="0.25">
      <c r="G3" s="8"/>
      <c r="H3" s="6"/>
      <c r="I3" s="6"/>
      <c r="J3" s="6"/>
      <c r="K3" s="9"/>
      <c r="L3" s="88"/>
    </row>
    <row r="4" spans="1:13" s="7" customFormat="1" ht="15.75" x14ac:dyDescent="0.25">
      <c r="A4" s="46" t="s">
        <v>1066</v>
      </c>
      <c r="B4" s="46" t="s">
        <v>1067</v>
      </c>
      <c r="C4" s="46"/>
      <c r="G4" s="8"/>
      <c r="H4" s="6"/>
      <c r="I4" s="6"/>
      <c r="J4" s="6"/>
      <c r="K4" s="9"/>
      <c r="L4" s="88"/>
    </row>
    <row r="5" spans="1:13" s="7" customFormat="1" ht="15.75" x14ac:dyDescent="0.25">
      <c r="A5" s="46" t="s">
        <v>1068</v>
      </c>
      <c r="B5" s="46" t="s">
        <v>1069</v>
      </c>
      <c r="C5" s="46"/>
      <c r="G5" s="8"/>
      <c r="H5" s="6"/>
      <c r="I5" s="6"/>
      <c r="J5" s="6"/>
      <c r="K5" s="9"/>
      <c r="L5" s="88"/>
    </row>
    <row r="6" spans="1:13" s="7" customFormat="1" ht="15.75" x14ac:dyDescent="0.25">
      <c r="A6" s="46" t="s">
        <v>1070</v>
      </c>
      <c r="B6" s="46" t="s">
        <v>1071</v>
      </c>
      <c r="C6" s="46"/>
      <c r="G6" s="8"/>
      <c r="H6" s="6"/>
      <c r="I6" s="6"/>
      <c r="J6" s="6"/>
      <c r="K6" s="9"/>
      <c r="L6" s="88"/>
    </row>
    <row r="7" spans="1:13" s="7" customFormat="1" ht="15.75" x14ac:dyDescent="0.25">
      <c r="A7" s="46" t="s">
        <v>1072</v>
      </c>
      <c r="B7" s="46" t="s">
        <v>1073</v>
      </c>
      <c r="C7" s="46"/>
      <c r="G7" s="8"/>
      <c r="H7" s="6"/>
      <c r="I7" s="6"/>
      <c r="J7" s="6"/>
      <c r="K7" s="9"/>
      <c r="L7" s="88"/>
    </row>
    <row r="8" spans="1:13" s="7" customFormat="1" ht="15.75" x14ac:dyDescent="0.25">
      <c r="G8" s="8"/>
      <c r="H8" s="6"/>
      <c r="I8" s="6"/>
      <c r="J8" s="6"/>
      <c r="K8" s="9"/>
      <c r="L8" s="88"/>
    </row>
    <row r="9" spans="1:13" s="7" customFormat="1" ht="63" customHeight="1" x14ac:dyDescent="0.25">
      <c r="A9" s="2106" t="s">
        <v>1039</v>
      </c>
      <c r="B9" s="2106" t="s">
        <v>1074</v>
      </c>
      <c r="C9" s="2106"/>
      <c r="D9" s="2106"/>
      <c r="E9" s="2105" t="s">
        <v>1246</v>
      </c>
      <c r="F9" s="2105" t="s">
        <v>1247</v>
      </c>
      <c r="G9" s="2105" t="s">
        <v>1248</v>
      </c>
      <c r="H9" s="2105" t="s">
        <v>1249</v>
      </c>
      <c r="I9" s="2106" t="s">
        <v>1079</v>
      </c>
      <c r="J9" s="2106"/>
      <c r="K9" s="2106"/>
      <c r="L9" s="2105" t="s">
        <v>1250</v>
      </c>
      <c r="M9" s="2105"/>
    </row>
    <row r="10" spans="1:13" s="7" customFormat="1" ht="32.25" customHeight="1" x14ac:dyDescent="0.25">
      <c r="A10" s="2106"/>
      <c r="B10" s="84" t="s">
        <v>1083</v>
      </c>
      <c r="C10" s="85" t="s">
        <v>1251</v>
      </c>
      <c r="D10" s="85" t="s">
        <v>1252</v>
      </c>
      <c r="E10" s="2105"/>
      <c r="F10" s="2105"/>
      <c r="G10" s="2105"/>
      <c r="H10" s="2105"/>
      <c r="I10" s="84" t="s">
        <v>1253</v>
      </c>
      <c r="J10" s="84" t="s">
        <v>1254</v>
      </c>
      <c r="K10" s="84" t="s">
        <v>1255</v>
      </c>
      <c r="L10" s="89" t="s">
        <v>1256</v>
      </c>
      <c r="M10" s="84" t="s">
        <v>1086</v>
      </c>
    </row>
    <row r="11" spans="1:13" s="7" customFormat="1" ht="15.75" x14ac:dyDescent="0.25">
      <c r="A11" s="13" t="s">
        <v>1087</v>
      </c>
      <c r="B11" s="13" t="s">
        <v>1088</v>
      </c>
      <c r="C11" s="13" t="s">
        <v>1089</v>
      </c>
      <c r="D11" s="13" t="s">
        <v>1090</v>
      </c>
      <c r="E11" s="13" t="s">
        <v>1091</v>
      </c>
      <c r="F11" s="13" t="s">
        <v>1092</v>
      </c>
      <c r="G11" s="14" t="s">
        <v>1093</v>
      </c>
      <c r="H11" s="10" t="s">
        <v>1094</v>
      </c>
      <c r="I11" s="10" t="s">
        <v>1095</v>
      </c>
      <c r="J11" s="10" t="s">
        <v>1096</v>
      </c>
      <c r="K11" s="10" t="s">
        <v>1097</v>
      </c>
      <c r="L11" s="90" t="s">
        <v>1098</v>
      </c>
      <c r="M11" s="13" t="s">
        <v>488</v>
      </c>
    </row>
    <row r="12" spans="1:13" s="7" customFormat="1" ht="111.75" customHeight="1" x14ac:dyDescent="0.25">
      <c r="A12" s="2147">
        <v>1</v>
      </c>
      <c r="B12" s="2120" t="s">
        <v>1299</v>
      </c>
      <c r="C12" s="29">
        <v>1</v>
      </c>
      <c r="D12" s="28" t="e">
        <f>'BID I'!#REF!</f>
        <v>#REF!</v>
      </c>
      <c r="E12" s="15"/>
      <c r="F12" s="18" t="s">
        <v>1101</v>
      </c>
      <c r="G12" s="18" t="s">
        <v>1102</v>
      </c>
      <c r="H12" s="19" t="s">
        <v>1103</v>
      </c>
      <c r="I12" s="10">
        <v>1</v>
      </c>
      <c r="J12" s="10"/>
      <c r="K12" s="10"/>
      <c r="L12" s="23" t="e">
        <f>'BID I'!#REF!</f>
        <v>#REF!</v>
      </c>
      <c r="M12" s="22" t="s">
        <v>1104</v>
      </c>
    </row>
    <row r="13" spans="1:13" s="7" customFormat="1" ht="94.5" customHeight="1" x14ac:dyDescent="0.25">
      <c r="A13" s="2117"/>
      <c r="B13" s="2118"/>
      <c r="C13" s="29">
        <v>2</v>
      </c>
      <c r="D13" s="28" t="e">
        <f>'BID I'!#REF!</f>
        <v>#REF!</v>
      </c>
      <c r="E13" s="15"/>
      <c r="F13" s="18" t="s">
        <v>1132</v>
      </c>
      <c r="G13" s="18" t="s">
        <v>1102</v>
      </c>
      <c r="H13" s="19" t="s">
        <v>1103</v>
      </c>
      <c r="I13" s="10">
        <v>12</v>
      </c>
      <c r="J13" s="10">
        <v>3</v>
      </c>
      <c r="K13" s="10"/>
      <c r="L13" s="25" t="e">
        <f>'BID I'!#REF!</f>
        <v>#REF!</v>
      </c>
      <c r="M13" s="22" t="s">
        <v>1104</v>
      </c>
    </row>
    <row r="14" spans="1:13" s="7" customFormat="1" ht="108" customHeight="1" x14ac:dyDescent="0.25">
      <c r="A14" s="2117"/>
      <c r="B14" s="2118"/>
      <c r="C14" s="28">
        <v>3</v>
      </c>
      <c r="D14" s="28" t="e">
        <f>'BID I'!#REF!</f>
        <v>#REF!</v>
      </c>
      <c r="E14" s="16"/>
      <c r="F14" s="18" t="s">
        <v>1133</v>
      </c>
      <c r="G14" s="18" t="s">
        <v>1102</v>
      </c>
      <c r="H14" s="19" t="s">
        <v>1103</v>
      </c>
      <c r="I14" s="10">
        <v>13</v>
      </c>
      <c r="J14" s="10">
        <v>3</v>
      </c>
      <c r="K14" s="10"/>
      <c r="L14" s="25" t="e">
        <f>'BID I'!#REF!</f>
        <v>#REF!</v>
      </c>
      <c r="M14" s="22" t="s">
        <v>1104</v>
      </c>
    </row>
    <row r="15" spans="1:13" s="7" customFormat="1" ht="86.25" customHeight="1" x14ac:dyDescent="0.25">
      <c r="A15" s="2117"/>
      <c r="B15" s="2118"/>
      <c r="C15" s="29">
        <v>4</v>
      </c>
      <c r="D15" s="28" t="str">
        <f>'BID I'!B109</f>
        <v>: Penyediaan Operasional Pemerintah Desa</v>
      </c>
      <c r="E15" s="15"/>
      <c r="F15" s="18" t="s">
        <v>1134</v>
      </c>
      <c r="G15" s="18" t="s">
        <v>1102</v>
      </c>
      <c r="H15" s="19" t="s">
        <v>1103</v>
      </c>
      <c r="I15" s="10">
        <v>3.5179999999999998</v>
      </c>
      <c r="J15" s="10">
        <v>3.3730000000000002</v>
      </c>
      <c r="K15" s="10"/>
      <c r="L15" s="25">
        <f>'BID I'!F276</f>
        <v>595935188</v>
      </c>
      <c r="M15" s="22" t="s">
        <v>1104</v>
      </c>
    </row>
    <row r="16" spans="1:13" s="7" customFormat="1" ht="105.75" customHeight="1" x14ac:dyDescent="0.25">
      <c r="A16" s="2117"/>
      <c r="B16" s="2118"/>
      <c r="C16" s="29">
        <v>5</v>
      </c>
      <c r="D16" s="28" t="str">
        <f>'BID I'!B292</f>
        <v>: Penyediaan Oprasional Pemerinthanan Desa ( Kegiatan Rapat - Rapat)</v>
      </c>
      <c r="E16" s="15"/>
      <c r="F16" s="18" t="s">
        <v>1135</v>
      </c>
      <c r="G16" s="18" t="s">
        <v>1102</v>
      </c>
      <c r="H16" s="19" t="s">
        <v>1103</v>
      </c>
      <c r="I16" s="10">
        <v>20</v>
      </c>
      <c r="J16" s="10">
        <v>9</v>
      </c>
      <c r="K16" s="10"/>
      <c r="L16" s="25">
        <f>'BID I'!F307</f>
        <v>28980000</v>
      </c>
      <c r="M16" s="22" t="s">
        <v>1104</v>
      </c>
    </row>
    <row r="17" spans="1:13" s="7" customFormat="1" ht="105.75" customHeight="1" x14ac:dyDescent="0.25">
      <c r="A17" s="2117"/>
      <c r="B17" s="2118"/>
      <c r="C17" s="29">
        <v>6</v>
      </c>
      <c r="D17" s="28" t="str">
        <f>'BID I'!B323</f>
        <v>: Penyediaan tunjangan BPD</v>
      </c>
      <c r="E17" s="15"/>
      <c r="F17" s="18" t="s">
        <v>1136</v>
      </c>
      <c r="G17" s="18" t="s">
        <v>1102</v>
      </c>
      <c r="H17" s="19" t="s">
        <v>1103</v>
      </c>
      <c r="I17" s="10">
        <v>8</v>
      </c>
      <c r="J17" s="10">
        <v>1</v>
      </c>
      <c r="K17" s="10"/>
      <c r="L17" s="25">
        <f>'BID I'!F349</f>
        <v>457800000</v>
      </c>
      <c r="M17" s="22" t="s">
        <v>1104</v>
      </c>
    </row>
    <row r="18" spans="1:13" s="7" customFormat="1" ht="105.75" customHeight="1" x14ac:dyDescent="0.25">
      <c r="A18" s="2117"/>
      <c r="B18" s="2118"/>
      <c r="C18" s="29">
        <v>7</v>
      </c>
      <c r="D18" s="28" t="str">
        <f>'BID I'!B365</f>
        <v>: Penyediaan Operasional BPD</v>
      </c>
      <c r="E18" s="15"/>
      <c r="F18" s="18" t="s">
        <v>1137</v>
      </c>
      <c r="G18" s="18" t="s">
        <v>1102</v>
      </c>
      <c r="H18" s="19" t="s">
        <v>1138</v>
      </c>
      <c r="I18" s="10">
        <v>8</v>
      </c>
      <c r="J18" s="10">
        <v>1</v>
      </c>
      <c r="K18" s="10"/>
      <c r="L18" s="25">
        <f>'BID I'!F390</f>
        <v>15974000</v>
      </c>
      <c r="M18" s="22" t="s">
        <v>1104</v>
      </c>
    </row>
    <row r="19" spans="1:13" s="7" customFormat="1" ht="105.75" customHeight="1" x14ac:dyDescent="0.25">
      <c r="A19" s="2117"/>
      <c r="B19" s="2118"/>
      <c r="C19" s="29">
        <v>8</v>
      </c>
      <c r="D19" s="28" t="str">
        <f>'BID I'!B406</f>
        <v>: Penyediaan Operasional BPD (Musyawarah BPD)</v>
      </c>
      <c r="E19" s="15"/>
      <c r="F19" s="18" t="s">
        <v>1139</v>
      </c>
      <c r="G19" s="18" t="s">
        <v>1102</v>
      </c>
      <c r="H19" s="19" t="s">
        <v>1140</v>
      </c>
      <c r="I19" s="10">
        <v>3.5179999999999998</v>
      </c>
      <c r="J19" s="10">
        <v>3.3730000000000002</v>
      </c>
      <c r="K19" s="10"/>
      <c r="L19" s="25">
        <f>'BID I'!F428</f>
        <v>12400000</v>
      </c>
      <c r="M19" s="22" t="s">
        <v>1104</v>
      </c>
    </row>
    <row r="20" spans="1:13" s="7" customFormat="1" ht="105.75" customHeight="1" x14ac:dyDescent="0.25">
      <c r="A20" s="2117"/>
      <c r="B20" s="2118"/>
      <c r="C20" s="29">
        <v>9</v>
      </c>
      <c r="D20" s="28" t="str">
        <f>'BID I'!B478</f>
        <v xml:space="preserve">: Penyediaan Penghasilan Staf Desa </v>
      </c>
      <c r="E20" s="15"/>
      <c r="F20" s="18" t="s">
        <v>1141</v>
      </c>
      <c r="G20" s="18" t="s">
        <v>1102</v>
      </c>
      <c r="H20" s="19" t="s">
        <v>1142</v>
      </c>
      <c r="I20" s="10">
        <v>9</v>
      </c>
      <c r="J20" s="10">
        <v>4</v>
      </c>
      <c r="K20" s="10"/>
      <c r="L20" s="25">
        <f>'BID I'!F495</f>
        <v>545773980</v>
      </c>
      <c r="M20" s="22" t="s">
        <v>1104</v>
      </c>
    </row>
    <row r="21" spans="1:13" s="7" customFormat="1" ht="105.75" customHeight="1" x14ac:dyDescent="0.25">
      <c r="A21" s="2117"/>
      <c r="B21" s="2118"/>
      <c r="C21" s="28">
        <v>10</v>
      </c>
      <c r="D21" s="28" t="str">
        <f>'BID I'!B657</f>
        <v>: Penyelenggaraan Belanja Penghasilan Tetap, Tunjangan dan Operasional Pemerintah Desa ( Maksimal 30% )</v>
      </c>
      <c r="E21" s="15"/>
      <c r="F21" s="18" t="s">
        <v>1355</v>
      </c>
      <c r="G21" s="18" t="s">
        <v>1102</v>
      </c>
      <c r="H21" s="19" t="s">
        <v>1147</v>
      </c>
      <c r="I21" s="10">
        <v>3.5179999999999998</v>
      </c>
      <c r="J21" s="10">
        <v>3.3730000000000002</v>
      </c>
      <c r="K21" s="25" t="e">
        <f>'BID I'!#REF!</f>
        <v>#REF!</v>
      </c>
      <c r="L21" s="25" t="e">
        <f>'BID I'!#REF!</f>
        <v>#REF!</v>
      </c>
      <c r="M21" s="22" t="s">
        <v>1104</v>
      </c>
    </row>
    <row r="22" spans="1:13" s="7" customFormat="1" ht="105.75" customHeight="1" x14ac:dyDescent="0.25">
      <c r="A22" s="2117"/>
      <c r="B22" s="2118"/>
      <c r="C22" s="29">
        <v>11</v>
      </c>
      <c r="D22" s="28" t="str">
        <f>'BID I'!B658</f>
        <v>: Penyediaan Kegiatan Sosial Desa</v>
      </c>
      <c r="E22" s="15"/>
      <c r="F22" s="18" t="s">
        <v>1143</v>
      </c>
      <c r="G22" s="18" t="s">
        <v>1102</v>
      </c>
      <c r="H22" s="19" t="s">
        <v>1103</v>
      </c>
      <c r="I22" s="10">
        <v>3.5179999999999998</v>
      </c>
      <c r="J22" s="10">
        <v>3.3730000000000002</v>
      </c>
      <c r="K22" s="10"/>
      <c r="L22" s="25">
        <f>'BID I'!F675</f>
        <v>39032000</v>
      </c>
      <c r="M22" s="22" t="s">
        <v>1104</v>
      </c>
    </row>
    <row r="23" spans="1:13" s="7" customFormat="1" ht="105.75" customHeight="1" x14ac:dyDescent="0.25">
      <c r="A23" s="2117"/>
      <c r="B23" s="2118"/>
      <c r="C23" s="29">
        <v>12</v>
      </c>
      <c r="D23" s="28" t="e">
        <f>'BID I'!#REF!</f>
        <v>#REF!</v>
      </c>
      <c r="E23" s="15"/>
      <c r="F23" s="18" t="s">
        <v>1143</v>
      </c>
      <c r="G23" s="18" t="s">
        <v>1102</v>
      </c>
      <c r="H23" s="19" t="s">
        <v>1103</v>
      </c>
      <c r="I23" s="10">
        <v>20</v>
      </c>
      <c r="J23" s="10">
        <v>8</v>
      </c>
      <c r="K23" s="10"/>
      <c r="L23" s="25" t="e">
        <f>'BID I'!#REF!</f>
        <v>#REF!</v>
      </c>
      <c r="M23" s="22" t="s">
        <v>1104</v>
      </c>
    </row>
    <row r="24" spans="1:13" s="7" customFormat="1" ht="105.75" customHeight="1" x14ac:dyDescent="0.25">
      <c r="A24" s="2117"/>
      <c r="B24" s="2118"/>
      <c r="C24" s="29">
        <v>13</v>
      </c>
      <c r="D24" s="28" t="str">
        <f>'BID I'!B716</f>
        <v>: Tambahan  Penghasilan Perbekel dari BKK</v>
      </c>
      <c r="E24" s="15"/>
      <c r="F24" s="18" t="s">
        <v>1101</v>
      </c>
      <c r="G24" s="18" t="s">
        <v>1102</v>
      </c>
      <c r="H24" s="19" t="s">
        <v>1103</v>
      </c>
      <c r="I24" s="10">
        <v>1</v>
      </c>
      <c r="J24" s="10"/>
      <c r="K24" s="10"/>
      <c r="L24" s="25">
        <f>'BID I'!F727</f>
        <v>18000000</v>
      </c>
      <c r="M24" s="22" t="s">
        <v>1104</v>
      </c>
    </row>
    <row r="25" spans="1:13" s="7" customFormat="1" ht="105.75" customHeight="1" x14ac:dyDescent="0.25">
      <c r="A25" s="2117"/>
      <c r="B25" s="2118"/>
      <c r="C25" s="29">
        <v>14</v>
      </c>
      <c r="D25" s="28" t="str">
        <f>'BID I'!B772</f>
        <v>: Penyediaan Aset Tetap (Prasarana Kantor Desa)</v>
      </c>
      <c r="E25" s="15"/>
      <c r="F25" s="18" t="s">
        <v>1145</v>
      </c>
      <c r="G25" s="18" t="s">
        <v>1102</v>
      </c>
      <c r="H25" s="19" t="s">
        <v>1144</v>
      </c>
      <c r="I25" s="10">
        <v>20</v>
      </c>
      <c r="J25" s="10">
        <v>8</v>
      </c>
      <c r="K25" s="10"/>
      <c r="L25" s="25">
        <f>'BID I'!F801</f>
        <v>135982100.75</v>
      </c>
      <c r="M25" s="22" t="s">
        <v>1104</v>
      </c>
    </row>
    <row r="26" spans="1:13" s="7" customFormat="1" ht="105.75" customHeight="1" x14ac:dyDescent="0.25">
      <c r="A26" s="2117"/>
      <c r="B26" s="2118"/>
      <c r="C26" s="29">
        <v>15</v>
      </c>
      <c r="D26" s="28" t="e">
        <f>'BID I'!#REF!</f>
        <v>#REF!</v>
      </c>
      <c r="E26" s="15"/>
      <c r="F26" s="18" t="s">
        <v>1146</v>
      </c>
      <c r="G26" s="18" t="s">
        <v>1102</v>
      </c>
      <c r="H26" s="19" t="s">
        <v>1147</v>
      </c>
      <c r="I26" s="10">
        <v>3.5179999999999998</v>
      </c>
      <c r="J26" s="10">
        <v>3.3730000000000002</v>
      </c>
      <c r="K26" s="10"/>
      <c r="L26" s="25" t="e">
        <f>'BID I'!#REF!</f>
        <v>#REF!</v>
      </c>
      <c r="M26" s="22" t="s">
        <v>1104</v>
      </c>
    </row>
    <row r="27" spans="1:13" s="7" customFormat="1" ht="105.75" customHeight="1" x14ac:dyDescent="0.25">
      <c r="A27" s="2117"/>
      <c r="B27" s="2118"/>
      <c r="C27" s="29">
        <v>16</v>
      </c>
      <c r="D27" s="28" t="e">
        <f>'BID I'!#REF!</f>
        <v>#REF!</v>
      </c>
      <c r="E27" s="15"/>
      <c r="F27" s="18" t="s">
        <v>1146</v>
      </c>
      <c r="G27" s="18" t="s">
        <v>1102</v>
      </c>
      <c r="H27" s="19" t="s">
        <v>1147</v>
      </c>
      <c r="I27" s="10">
        <v>3.5179999999999998</v>
      </c>
      <c r="J27" s="10">
        <v>3.3730000000000002</v>
      </c>
      <c r="K27" s="10"/>
      <c r="L27" s="25" t="e">
        <f>'BID I'!#REF!</f>
        <v>#REF!</v>
      </c>
      <c r="M27" s="22" t="s">
        <v>1104</v>
      </c>
    </row>
    <row r="28" spans="1:13" s="7" customFormat="1" ht="105.75" customHeight="1" x14ac:dyDescent="0.25">
      <c r="A28" s="2117"/>
      <c r="B28" s="2118"/>
      <c r="C28" s="28">
        <v>17</v>
      </c>
      <c r="D28" s="28" t="e">
        <f>'BID I'!#REF!</f>
        <v>#REF!</v>
      </c>
      <c r="E28" s="15"/>
      <c r="F28" s="18" t="s">
        <v>1146</v>
      </c>
      <c r="G28" s="18" t="s">
        <v>1102</v>
      </c>
      <c r="H28" s="19" t="s">
        <v>1147</v>
      </c>
      <c r="I28" s="10">
        <v>3.5179999999999998</v>
      </c>
      <c r="J28" s="10">
        <v>3.3730000000000002</v>
      </c>
      <c r="K28" s="10"/>
      <c r="L28" s="25" t="e">
        <f>'BID I'!#REF!</f>
        <v>#REF!</v>
      </c>
      <c r="M28" s="22" t="s">
        <v>1104</v>
      </c>
    </row>
    <row r="29" spans="1:13" s="7" customFormat="1" ht="105.75" customHeight="1" x14ac:dyDescent="0.25">
      <c r="A29" s="2117"/>
      <c r="B29" s="2118"/>
      <c r="C29" s="29">
        <v>18</v>
      </c>
      <c r="D29" s="28" t="e">
        <f>'BID I'!#REF!</f>
        <v>#REF!</v>
      </c>
      <c r="E29" s="15"/>
      <c r="F29" s="18" t="s">
        <v>1146</v>
      </c>
      <c r="G29" s="18" t="s">
        <v>1102</v>
      </c>
      <c r="H29" s="19" t="s">
        <v>1147</v>
      </c>
      <c r="I29" s="10">
        <v>3.5179999999999998</v>
      </c>
      <c r="J29" s="10">
        <v>3.3730000000000002</v>
      </c>
      <c r="K29" s="10"/>
      <c r="L29" s="25" t="e">
        <f>'BID I'!#REF!</f>
        <v>#REF!</v>
      </c>
      <c r="M29" s="22" t="s">
        <v>1104</v>
      </c>
    </row>
    <row r="30" spans="1:13" s="7" customFormat="1" ht="105.75" customHeight="1" x14ac:dyDescent="0.25">
      <c r="A30" s="2117"/>
      <c r="B30" s="2118"/>
      <c r="C30" s="29">
        <v>19</v>
      </c>
      <c r="D30" s="28" t="e">
        <f>'BID I'!#REF!</f>
        <v>#REF!</v>
      </c>
      <c r="E30" s="15"/>
      <c r="F30" s="18" t="s">
        <v>1146</v>
      </c>
      <c r="G30" s="18" t="s">
        <v>1102</v>
      </c>
      <c r="H30" s="19" t="s">
        <v>1147</v>
      </c>
      <c r="I30" s="10">
        <v>3.5179999999999998</v>
      </c>
      <c r="J30" s="10">
        <v>3.3730000000000002</v>
      </c>
      <c r="K30" s="10"/>
      <c r="L30" s="25" t="e">
        <f>'BID I'!#REF!</f>
        <v>#REF!</v>
      </c>
      <c r="M30" s="22" t="s">
        <v>1104</v>
      </c>
    </row>
    <row r="31" spans="1:13" s="7" customFormat="1" ht="105.75" customHeight="1" x14ac:dyDescent="0.25">
      <c r="A31" s="2117"/>
      <c r="B31" s="2118"/>
      <c r="C31" s="29">
        <v>20</v>
      </c>
      <c r="D31" s="28" t="str">
        <f>'BID I'!B996</f>
        <v>: Penyusunan/ Pendataan/Pemuktahiran Profil Desa (Profil Kependudukan dan potensi Desa )</v>
      </c>
      <c r="E31" s="15"/>
      <c r="F31" s="18" t="s">
        <v>1148</v>
      </c>
      <c r="G31" s="18" t="s">
        <v>1102</v>
      </c>
      <c r="H31" s="19" t="s">
        <v>1147</v>
      </c>
      <c r="I31" s="10">
        <v>3.5179999999999998</v>
      </c>
      <c r="J31" s="10">
        <v>3.3730000000000002</v>
      </c>
      <c r="K31" s="10"/>
      <c r="L31" s="25">
        <f>'BID I'!F1035</f>
        <v>44906000</v>
      </c>
      <c r="M31" s="22" t="s">
        <v>1104</v>
      </c>
    </row>
    <row r="32" spans="1:13" s="7" customFormat="1" ht="105.75" customHeight="1" x14ac:dyDescent="0.25">
      <c r="A32" s="2117"/>
      <c r="B32" s="2118"/>
      <c r="C32" s="29">
        <v>21</v>
      </c>
      <c r="D32" s="28" t="e">
        <f>'BID I'!#REF!</f>
        <v>#REF!</v>
      </c>
      <c r="E32" s="15"/>
      <c r="F32" s="18" t="s">
        <v>1225</v>
      </c>
      <c r="G32" s="18" t="s">
        <v>1102</v>
      </c>
      <c r="H32" s="19" t="s">
        <v>1147</v>
      </c>
      <c r="I32" s="10">
        <v>3.5179999999999998</v>
      </c>
      <c r="J32" s="10">
        <v>3.3730000000000002</v>
      </c>
      <c r="K32" s="10"/>
      <c r="L32" s="25" t="e">
        <f>'BID I'!#REF!</f>
        <v>#REF!</v>
      </c>
      <c r="M32" s="22" t="s">
        <v>1104</v>
      </c>
    </row>
    <row r="33" spans="1:13" s="7" customFormat="1" ht="105.75" customHeight="1" x14ac:dyDescent="0.25">
      <c r="A33" s="2117"/>
      <c r="B33" s="2118"/>
      <c r="C33" s="29">
        <v>22</v>
      </c>
      <c r="D33" s="28" t="str">
        <f>'BID I'!B1090</f>
        <v>: Pengelolaan Administrasi dan Kearsipan pemerintahan Desa ( Pelatihan Kearsipan )</v>
      </c>
      <c r="E33" s="15"/>
      <c r="F33" s="17" t="s">
        <v>1149</v>
      </c>
      <c r="G33" s="18" t="s">
        <v>1102</v>
      </c>
      <c r="H33" s="19" t="s">
        <v>1147</v>
      </c>
      <c r="I33" s="10">
        <v>20</v>
      </c>
      <c r="J33" s="10">
        <v>8</v>
      </c>
      <c r="K33" s="15"/>
      <c r="L33" s="25">
        <f>'BID I'!F1112</f>
        <v>900000</v>
      </c>
      <c r="M33" s="22" t="s">
        <v>1104</v>
      </c>
    </row>
    <row r="34" spans="1:13" ht="105.75" customHeight="1" x14ac:dyDescent="0.25">
      <c r="A34" s="2117"/>
      <c r="B34" s="2118"/>
      <c r="C34" s="29">
        <v>23</v>
      </c>
      <c r="D34" s="28" t="str">
        <f>'BID I'!B1127</f>
        <v>: Pendataan Administrasi Penduduk Non Permanen (Penertiban Penduduk Pendatang dan Sidak Dialogis)</v>
      </c>
      <c r="E34" s="15"/>
      <c r="F34" s="18" t="s">
        <v>1150</v>
      </c>
      <c r="G34" s="18" t="s">
        <v>1102</v>
      </c>
      <c r="H34" s="19" t="s">
        <v>1151</v>
      </c>
      <c r="I34" s="10">
        <v>3.5179999999999998</v>
      </c>
      <c r="J34" s="10">
        <v>3.3730000000000002</v>
      </c>
      <c r="K34" s="40"/>
      <c r="L34" s="25">
        <f>'BID I'!F1149</f>
        <v>37270000</v>
      </c>
      <c r="M34" s="22" t="s">
        <v>1104</v>
      </c>
    </row>
    <row r="35" spans="1:13" ht="105.75" customHeight="1" x14ac:dyDescent="0.25">
      <c r="A35" s="2117"/>
      <c r="B35" s="2118"/>
      <c r="C35" s="28">
        <v>24</v>
      </c>
      <c r="D35" s="28" t="str">
        <f>'BID I'!B1165</f>
        <v>Penyelenggaraan Musyawarah Desa/ Pembahasan APBDes (Musrenbangdes)</v>
      </c>
      <c r="E35" s="15"/>
      <c r="F35" s="18" t="s">
        <v>1143</v>
      </c>
      <c r="G35" s="18" t="s">
        <v>1102</v>
      </c>
      <c r="H35" s="19" t="s">
        <v>1106</v>
      </c>
      <c r="I35" s="10">
        <v>3.5179999999999998</v>
      </c>
      <c r="J35" s="10">
        <v>3.3730000000000002</v>
      </c>
      <c r="K35" s="40"/>
      <c r="L35" s="25">
        <f>'BID I'!F1192</f>
        <v>25700000</v>
      </c>
      <c r="M35" s="22" t="s">
        <v>1104</v>
      </c>
    </row>
    <row r="36" spans="1:13" ht="105.75" customHeight="1" x14ac:dyDescent="0.25">
      <c r="A36" s="2117"/>
      <c r="B36" s="2118"/>
      <c r="C36" s="29">
        <v>25</v>
      </c>
      <c r="D36" s="28" t="str">
        <f>'BID I'!B1208</f>
        <v>Penyelenggaraan Musyawarah Desa/ Pembahasan APBDes (Musdes, Musrenbangdes/pra musrenbangdes, dll yang bersifat reguler )</v>
      </c>
      <c r="E36" s="15"/>
      <c r="F36" s="18" t="s">
        <v>1143</v>
      </c>
      <c r="G36" s="18" t="s">
        <v>1102</v>
      </c>
      <c r="H36" s="19" t="s">
        <v>1152</v>
      </c>
      <c r="I36" s="10">
        <v>3.5179999999999998</v>
      </c>
      <c r="J36" s="10">
        <v>3.3730000000000002</v>
      </c>
      <c r="K36" s="40"/>
      <c r="L36" s="25">
        <f>'BID I'!F1236</f>
        <v>41416000</v>
      </c>
      <c r="M36" s="22" t="s">
        <v>1104</v>
      </c>
    </row>
    <row r="37" spans="1:13" ht="105.75" customHeight="1" x14ac:dyDescent="0.25">
      <c r="A37" s="2117"/>
      <c r="B37" s="2118"/>
      <c r="C37" s="29">
        <v>26</v>
      </c>
      <c r="D37" s="28" t="str">
        <f>'BID I'!B1253</f>
        <v>: Penyelenggaraan Musyawarah Desa lainya (yang bersifat non reguler )</v>
      </c>
      <c r="E37" s="15"/>
      <c r="F37" s="18" t="s">
        <v>1143</v>
      </c>
      <c r="G37" s="18" t="s">
        <v>1102</v>
      </c>
      <c r="H37" s="19" t="s">
        <v>1153</v>
      </c>
      <c r="I37" s="10">
        <v>3.5179999999999998</v>
      </c>
      <c r="J37" s="10">
        <v>3.3730000000000002</v>
      </c>
      <c r="K37" s="40"/>
      <c r="L37" s="25">
        <f>'BID I'!F1280</f>
        <v>24400000</v>
      </c>
      <c r="M37" s="22" t="s">
        <v>1104</v>
      </c>
    </row>
    <row r="38" spans="1:13" ht="105.75" customHeight="1" x14ac:dyDescent="0.25">
      <c r="A38" s="2117"/>
      <c r="B38" s="2118"/>
      <c r="C38" s="29">
        <v>27</v>
      </c>
      <c r="D38" s="28" t="str">
        <f>'BID I'!B1294</f>
        <v>Penyusunan Dokumen Perencanaan Desa (RKP Desa 2026)</v>
      </c>
      <c r="E38" s="15"/>
      <c r="F38" s="18" t="s">
        <v>1143</v>
      </c>
      <c r="G38" s="18" t="s">
        <v>1102</v>
      </c>
      <c r="H38" s="19" t="s">
        <v>1106</v>
      </c>
      <c r="I38" s="10">
        <v>3.5179999999999998</v>
      </c>
      <c r="J38" s="10">
        <v>3.3730000000000002</v>
      </c>
      <c r="K38" s="40"/>
      <c r="L38" s="25">
        <f>'BID I'!F1320</f>
        <v>25930000</v>
      </c>
      <c r="M38" s="22" t="s">
        <v>1104</v>
      </c>
    </row>
    <row r="39" spans="1:13" ht="105.75" customHeight="1" x14ac:dyDescent="0.25">
      <c r="A39" s="2117"/>
      <c r="B39" s="2118"/>
      <c r="C39" s="29">
        <v>28</v>
      </c>
      <c r="D39" s="28" t="str">
        <f>'BID I'!B1369</f>
        <v>: Penyusunan dokumen keuangan Desa (APBDesa 2026 )</v>
      </c>
      <c r="E39" s="15"/>
      <c r="F39" s="18" t="s">
        <v>1143</v>
      </c>
      <c r="G39" s="18" t="s">
        <v>1102</v>
      </c>
      <c r="H39" s="19" t="s">
        <v>1106</v>
      </c>
      <c r="I39" s="10">
        <v>3.5179999999999998</v>
      </c>
      <c r="J39" s="10">
        <v>3.3730000000000002</v>
      </c>
      <c r="K39" s="40"/>
      <c r="L39" s="25">
        <f>'BID I'!F1384</f>
        <v>5175000</v>
      </c>
      <c r="M39" s="22" t="s">
        <v>1104</v>
      </c>
    </row>
    <row r="40" spans="1:13" ht="105.75" customHeight="1" x14ac:dyDescent="0.25">
      <c r="A40" s="2117"/>
      <c r="B40" s="2118"/>
      <c r="C40" s="29">
        <v>29</v>
      </c>
      <c r="D40" s="28" t="str">
        <f>'BID I'!B1400</f>
        <v>: Penyusunan dokumen keuangan Desa (APBDesa Perubahan 2025)</v>
      </c>
      <c r="E40" s="15"/>
      <c r="F40" s="18" t="s">
        <v>1143</v>
      </c>
      <c r="G40" s="18" t="s">
        <v>1102</v>
      </c>
      <c r="H40" s="19" t="s">
        <v>1106</v>
      </c>
      <c r="I40" s="10">
        <v>3.5179999999999998</v>
      </c>
      <c r="J40" s="10">
        <v>3.3730000000000002</v>
      </c>
      <c r="K40" s="40"/>
      <c r="L40" s="25">
        <f>'BID I'!F1415</f>
        <v>4805000</v>
      </c>
      <c r="M40" s="22" t="s">
        <v>1104</v>
      </c>
    </row>
    <row r="41" spans="1:13" ht="105.75" customHeight="1" x14ac:dyDescent="0.25">
      <c r="A41" s="2117"/>
      <c r="B41" s="2118"/>
      <c r="C41" s="29">
        <v>30</v>
      </c>
      <c r="D41" s="28" t="str">
        <f>'BID I'!B1430</f>
        <v>: Penyusunan dokumen keuangan Desa ( LPJ APBDesa 2024)</v>
      </c>
      <c r="E41" s="15"/>
      <c r="F41" s="18" t="s">
        <v>1143</v>
      </c>
      <c r="G41" s="18" t="s">
        <v>1102</v>
      </c>
      <c r="H41" s="19" t="s">
        <v>1106</v>
      </c>
      <c r="I41" s="10">
        <v>3.5179999999999998</v>
      </c>
      <c r="J41" s="10">
        <v>3.3730000000000002</v>
      </c>
      <c r="K41" s="40"/>
      <c r="L41" s="25">
        <f>'BID I'!F1442</f>
        <v>1575000</v>
      </c>
      <c r="M41" s="22" t="s">
        <v>1104</v>
      </c>
    </row>
    <row r="42" spans="1:13" ht="105.75" customHeight="1" x14ac:dyDescent="0.25">
      <c r="A42" s="2148"/>
      <c r="B42" s="2121"/>
      <c r="C42" s="28">
        <v>31</v>
      </c>
      <c r="D42" s="27" t="str">
        <f>'BID I'!B1458</f>
        <v>: Penyusunan laporan Kepala Desa/ Penyelenggaraan Pemerintah Desa (Laporan akhir tahun anggaran )</v>
      </c>
      <c r="E42" s="86"/>
      <c r="F42" s="87" t="s">
        <v>1143</v>
      </c>
      <c r="G42" s="87" t="s">
        <v>1102</v>
      </c>
      <c r="H42" s="22" t="s">
        <v>1106</v>
      </c>
      <c r="I42" s="10">
        <v>3.5179999999999998</v>
      </c>
      <c r="J42" s="10">
        <v>3.3730000000000002</v>
      </c>
      <c r="K42" s="93"/>
      <c r="L42" s="23">
        <f>'BID I'!F1470</f>
        <v>1500000</v>
      </c>
      <c r="M42" s="22" t="s">
        <v>1104</v>
      </c>
    </row>
    <row r="43" spans="1:13" ht="17.25" customHeight="1" x14ac:dyDescent="0.25">
      <c r="A43" s="33"/>
      <c r="B43" s="33"/>
      <c r="C43" s="26"/>
      <c r="D43" s="27"/>
      <c r="E43" s="86"/>
      <c r="F43" s="87"/>
      <c r="G43" s="87"/>
      <c r="H43" s="22"/>
      <c r="I43" s="96"/>
      <c r="J43" s="96"/>
      <c r="K43" s="93"/>
      <c r="L43" s="23"/>
      <c r="M43" s="22"/>
    </row>
    <row r="44" spans="1:13" ht="21.75" customHeight="1" x14ac:dyDescent="0.3">
      <c r="A44" s="2116" t="s">
        <v>1294</v>
      </c>
      <c r="B44" s="2116"/>
      <c r="C44" s="2116"/>
      <c r="D44" s="2116"/>
      <c r="E44" s="2116"/>
      <c r="F44" s="2116"/>
      <c r="G44" s="2116"/>
      <c r="H44" s="2116"/>
      <c r="I44" s="2116"/>
      <c r="J44" s="2116"/>
      <c r="K44" s="2116"/>
      <c r="L44" s="91" t="e">
        <f>SUM(L12:L42)</f>
        <v>#REF!</v>
      </c>
      <c r="M44" s="1"/>
    </row>
    <row r="45" spans="1:13" s="7" customFormat="1" ht="63" customHeight="1" x14ac:dyDescent="0.25">
      <c r="A45" s="2106" t="s">
        <v>1039</v>
      </c>
      <c r="B45" s="2106" t="s">
        <v>1074</v>
      </c>
      <c r="C45" s="2106"/>
      <c r="D45" s="2106"/>
      <c r="E45" s="2105" t="s">
        <v>1246</v>
      </c>
      <c r="F45" s="2105" t="s">
        <v>1247</v>
      </c>
      <c r="G45" s="2105" t="s">
        <v>1248</v>
      </c>
      <c r="H45" s="2105" t="s">
        <v>1249</v>
      </c>
      <c r="I45" s="2106" t="s">
        <v>1079</v>
      </c>
      <c r="J45" s="2106"/>
      <c r="K45" s="2106"/>
      <c r="L45" s="2105" t="s">
        <v>1250</v>
      </c>
      <c r="M45" s="2105"/>
    </row>
    <row r="46" spans="1:13" s="7" customFormat="1" ht="32.25" customHeight="1" x14ac:dyDescent="0.25">
      <c r="A46" s="2106"/>
      <c r="B46" s="84" t="s">
        <v>1083</v>
      </c>
      <c r="C46" s="85" t="s">
        <v>1251</v>
      </c>
      <c r="D46" s="85" t="s">
        <v>1252</v>
      </c>
      <c r="E46" s="2105"/>
      <c r="F46" s="2105"/>
      <c r="G46" s="2105"/>
      <c r="H46" s="2105"/>
      <c r="I46" s="84" t="s">
        <v>1253</v>
      </c>
      <c r="J46" s="84" t="s">
        <v>1254</v>
      </c>
      <c r="K46" s="84" t="s">
        <v>1255</v>
      </c>
      <c r="L46" s="89" t="s">
        <v>1256</v>
      </c>
      <c r="M46" s="84" t="s">
        <v>1086</v>
      </c>
    </row>
    <row r="47" spans="1:13" s="7" customFormat="1" ht="15.75" x14ac:dyDescent="0.25">
      <c r="A47" s="13" t="s">
        <v>1087</v>
      </c>
      <c r="B47" s="13" t="s">
        <v>1088</v>
      </c>
      <c r="C47" s="13" t="s">
        <v>1089</v>
      </c>
      <c r="D47" s="13" t="s">
        <v>1090</v>
      </c>
      <c r="E47" s="13" t="s">
        <v>1091</v>
      </c>
      <c r="F47" s="13" t="s">
        <v>1092</v>
      </c>
      <c r="G47" s="14" t="s">
        <v>1093</v>
      </c>
      <c r="H47" s="10" t="s">
        <v>1094</v>
      </c>
      <c r="I47" s="10" t="s">
        <v>1095</v>
      </c>
      <c r="J47" s="10" t="s">
        <v>1096</v>
      </c>
      <c r="K47" s="10" t="s">
        <v>1097</v>
      </c>
      <c r="L47" s="90" t="s">
        <v>1098</v>
      </c>
      <c r="M47" s="13" t="s">
        <v>488</v>
      </c>
    </row>
    <row r="48" spans="1:13" ht="105.75" customHeight="1" x14ac:dyDescent="0.25">
      <c r="A48" s="2112">
        <v>2</v>
      </c>
      <c r="B48" s="2114" t="s">
        <v>1300</v>
      </c>
      <c r="C48" s="29">
        <v>1</v>
      </c>
      <c r="D48" s="21" t="e">
        <f>'BID II'!#REF!</f>
        <v>#REF!</v>
      </c>
      <c r="E48" s="13"/>
      <c r="F48" s="28" t="s">
        <v>1108</v>
      </c>
      <c r="G48" s="18" t="s">
        <v>1102</v>
      </c>
      <c r="H48" s="19" t="s">
        <v>1106</v>
      </c>
      <c r="I48" s="34">
        <v>40</v>
      </c>
      <c r="J48" s="34">
        <v>40</v>
      </c>
      <c r="K48" s="40"/>
      <c r="L48" s="91" t="e">
        <f>#REF!</f>
        <v>#REF!</v>
      </c>
      <c r="M48" s="19" t="s">
        <v>1104</v>
      </c>
    </row>
    <row r="49" spans="1:13" ht="105.75" customHeight="1" x14ac:dyDescent="0.25">
      <c r="A49" s="2113"/>
      <c r="B49" s="2115"/>
      <c r="C49" s="29">
        <v>2</v>
      </c>
      <c r="D49" s="21" t="e">
        <f>'BID II'!#REF!</f>
        <v>#REF!</v>
      </c>
      <c r="E49" s="13"/>
      <c r="F49" s="28" t="s">
        <v>1236</v>
      </c>
      <c r="G49" s="18" t="s">
        <v>1102</v>
      </c>
      <c r="H49" s="19" t="s">
        <v>1106</v>
      </c>
      <c r="I49" s="34">
        <v>40</v>
      </c>
      <c r="J49" s="34">
        <v>40</v>
      </c>
      <c r="K49" s="40"/>
      <c r="L49" s="91" t="e">
        <f>#REF!</f>
        <v>#REF!</v>
      </c>
      <c r="M49" s="19" t="s">
        <v>1104</v>
      </c>
    </row>
    <row r="50" spans="1:13" ht="105.75" customHeight="1" x14ac:dyDescent="0.25">
      <c r="A50" s="2113"/>
      <c r="B50" s="2115"/>
      <c r="C50" s="29">
        <v>3</v>
      </c>
      <c r="D50" s="21" t="e">
        <f>'BID II'!#REF!</f>
        <v>#REF!</v>
      </c>
      <c r="E50" s="13"/>
      <c r="F50" s="28" t="s">
        <v>1236</v>
      </c>
      <c r="G50" s="18" t="s">
        <v>1102</v>
      </c>
      <c r="H50" s="19" t="s">
        <v>1106</v>
      </c>
      <c r="I50" s="34">
        <v>40</v>
      </c>
      <c r="J50" s="34">
        <v>40</v>
      </c>
      <c r="K50" s="40"/>
      <c r="L50" s="91" t="e">
        <f>#REF!</f>
        <v>#REF!</v>
      </c>
      <c r="M50" s="19" t="s">
        <v>1104</v>
      </c>
    </row>
    <row r="51" spans="1:13" ht="105.75" customHeight="1" x14ac:dyDescent="0.25">
      <c r="A51" s="2113"/>
      <c r="B51" s="2115"/>
      <c r="C51" s="29">
        <v>4</v>
      </c>
      <c r="D51" s="28" t="e">
        <f>'BID II'!#REF!</f>
        <v>#REF!</v>
      </c>
      <c r="E51" s="13"/>
      <c r="F51" s="28" t="s">
        <v>1154</v>
      </c>
      <c r="G51" s="18" t="s">
        <v>1102</v>
      </c>
      <c r="H51" s="19" t="s">
        <v>1138</v>
      </c>
      <c r="I51" s="34">
        <v>2</v>
      </c>
      <c r="J51" s="34">
        <v>3</v>
      </c>
      <c r="K51" s="40"/>
      <c r="L51" s="91" t="e">
        <f>#REF!</f>
        <v>#REF!</v>
      </c>
      <c r="M51" s="19" t="s">
        <v>1104</v>
      </c>
    </row>
    <row r="52" spans="1:13" ht="105.75" customHeight="1" x14ac:dyDescent="0.25">
      <c r="A52" s="2113"/>
      <c r="B52" s="2115"/>
      <c r="C52" s="29">
        <v>5</v>
      </c>
      <c r="D52" s="28" t="e">
        <f>'BID II'!#REF!</f>
        <v>#REF!</v>
      </c>
      <c r="E52" s="13"/>
      <c r="F52" s="28" t="s">
        <v>1155</v>
      </c>
      <c r="G52" s="18" t="s">
        <v>1102</v>
      </c>
      <c r="H52" s="19" t="s">
        <v>1138</v>
      </c>
      <c r="I52" s="34">
        <v>215</v>
      </c>
      <c r="J52" s="34">
        <v>218</v>
      </c>
      <c r="K52" s="40"/>
      <c r="L52" s="91" t="e">
        <f>#REF!</f>
        <v>#REF!</v>
      </c>
      <c r="M52" s="19" t="s">
        <v>1104</v>
      </c>
    </row>
    <row r="53" spans="1:13" ht="105.75" customHeight="1" x14ac:dyDescent="0.25">
      <c r="A53" s="2113"/>
      <c r="B53" s="2115"/>
      <c r="C53" s="29">
        <v>6</v>
      </c>
      <c r="D53" s="28" t="e">
        <f>'BID II'!#REF!</f>
        <v>#REF!</v>
      </c>
      <c r="E53" s="13"/>
      <c r="F53" s="28" t="s">
        <v>1156</v>
      </c>
      <c r="G53" s="18" t="s">
        <v>1102</v>
      </c>
      <c r="H53" s="19" t="s">
        <v>1106</v>
      </c>
      <c r="I53" s="34"/>
      <c r="J53" s="34">
        <v>15</v>
      </c>
      <c r="K53" s="40"/>
      <c r="L53" s="91" t="e">
        <f>#REF!</f>
        <v>#REF!</v>
      </c>
      <c r="M53" s="19" t="s">
        <v>1104</v>
      </c>
    </row>
    <row r="54" spans="1:13" ht="105.75" customHeight="1" x14ac:dyDescent="0.25">
      <c r="A54" s="2113"/>
      <c r="B54" s="2115"/>
      <c r="C54" s="29">
        <v>7</v>
      </c>
      <c r="D54" s="28" t="e">
        <f>'BID II'!#REF!</f>
        <v>#REF!</v>
      </c>
      <c r="E54" s="13"/>
      <c r="F54" s="28" t="s">
        <v>1157</v>
      </c>
      <c r="G54" s="18" t="s">
        <v>1102</v>
      </c>
      <c r="H54" s="19" t="s">
        <v>1138</v>
      </c>
      <c r="I54" s="34"/>
      <c r="J54" s="34">
        <v>30</v>
      </c>
      <c r="K54" s="40"/>
      <c r="L54" s="91" t="e">
        <f>#REF!</f>
        <v>#REF!</v>
      </c>
      <c r="M54" s="19" t="s">
        <v>1104</v>
      </c>
    </row>
    <row r="55" spans="1:13" ht="105.75" customHeight="1" x14ac:dyDescent="0.25">
      <c r="A55" s="2113"/>
      <c r="B55" s="2115"/>
      <c r="C55" s="29">
        <v>8</v>
      </c>
      <c r="D55" s="28" t="e">
        <f>'BID II'!#REF!</f>
        <v>#REF!</v>
      </c>
      <c r="E55" s="13"/>
      <c r="F55" s="28" t="s">
        <v>1158</v>
      </c>
      <c r="G55" s="18" t="s">
        <v>1102</v>
      </c>
      <c r="H55" s="19" t="s">
        <v>1106</v>
      </c>
      <c r="I55" s="34"/>
      <c r="J55" s="34">
        <v>6</v>
      </c>
      <c r="K55" s="40"/>
      <c r="L55" s="91" t="e">
        <f>#REF!</f>
        <v>#REF!</v>
      </c>
      <c r="M55" s="19" t="s">
        <v>1104</v>
      </c>
    </row>
    <row r="56" spans="1:13" ht="105.75" customHeight="1" x14ac:dyDescent="0.25">
      <c r="A56" s="2113"/>
      <c r="B56" s="2115"/>
      <c r="C56" s="29">
        <v>9</v>
      </c>
      <c r="D56" s="28" t="e">
        <f>'BID II'!#REF!</f>
        <v>#REF!</v>
      </c>
      <c r="E56" s="13"/>
      <c r="F56" s="28" t="s">
        <v>1159</v>
      </c>
      <c r="G56" s="18" t="s">
        <v>1102</v>
      </c>
      <c r="H56" s="19" t="s">
        <v>1106</v>
      </c>
      <c r="I56" s="34"/>
      <c r="J56" s="34">
        <v>71</v>
      </c>
      <c r="K56" s="40"/>
      <c r="L56" s="91" t="e">
        <f>#REF!</f>
        <v>#REF!</v>
      </c>
      <c r="M56" s="19" t="s">
        <v>1104</v>
      </c>
    </row>
    <row r="57" spans="1:13" ht="105.75" customHeight="1" x14ac:dyDescent="0.25">
      <c r="A57" s="2113"/>
      <c r="B57" s="2115"/>
      <c r="C57" s="29">
        <v>10</v>
      </c>
      <c r="D57" s="28" t="e">
        <f>'BID II'!#REF!</f>
        <v>#REF!</v>
      </c>
      <c r="E57" s="13"/>
      <c r="F57" s="28" t="s">
        <v>1160</v>
      </c>
      <c r="G57" s="18" t="s">
        <v>1102</v>
      </c>
      <c r="H57" s="19" t="s">
        <v>1106</v>
      </c>
      <c r="I57" s="34">
        <v>3.5179999999999998</v>
      </c>
      <c r="J57" s="34">
        <v>3.3730000000000002</v>
      </c>
      <c r="K57" s="40"/>
      <c r="L57" s="91" t="e">
        <f>#REF!</f>
        <v>#REF!</v>
      </c>
      <c r="M57" s="19" t="s">
        <v>1104</v>
      </c>
    </row>
    <row r="58" spans="1:13" ht="105.75" customHeight="1" x14ac:dyDescent="0.25">
      <c r="A58" s="2113"/>
      <c r="B58" s="2115"/>
      <c r="C58" s="29">
        <v>11</v>
      </c>
      <c r="D58" s="28" t="e">
        <f>#REF!</f>
        <v>#REF!</v>
      </c>
      <c r="E58" s="13"/>
      <c r="F58" s="28" t="e">
        <f>#REF!</f>
        <v>#REF!</v>
      </c>
      <c r="G58" s="18" t="s">
        <v>1102</v>
      </c>
      <c r="H58" s="19" t="s">
        <v>1106</v>
      </c>
      <c r="I58" s="34">
        <v>3.5179999999999998</v>
      </c>
      <c r="J58" s="34">
        <v>3.3730000000000002</v>
      </c>
      <c r="K58" s="40"/>
      <c r="L58" s="91" t="e">
        <f>#REF!</f>
        <v>#REF!</v>
      </c>
      <c r="M58" s="19" t="s">
        <v>1104</v>
      </c>
    </row>
    <row r="59" spans="1:13" ht="105.75" customHeight="1" x14ac:dyDescent="0.25">
      <c r="A59" s="2113"/>
      <c r="B59" s="2115"/>
      <c r="C59" s="29">
        <v>12</v>
      </c>
      <c r="D59" s="28" t="e">
        <f>'BID II'!#REF!</f>
        <v>#REF!</v>
      </c>
      <c r="E59" s="13"/>
      <c r="F59" s="28" t="s">
        <v>1161</v>
      </c>
      <c r="G59" s="18" t="s">
        <v>1102</v>
      </c>
      <c r="H59" s="19" t="s">
        <v>1106</v>
      </c>
      <c r="I59" s="34">
        <v>3.5179999999999998</v>
      </c>
      <c r="J59" s="34">
        <v>3.3730000000000002</v>
      </c>
      <c r="K59" s="40"/>
      <c r="L59" s="91" t="e">
        <f>#REF!</f>
        <v>#REF!</v>
      </c>
      <c r="M59" s="19" t="s">
        <v>1104</v>
      </c>
    </row>
    <row r="60" spans="1:13" ht="105.75" customHeight="1" x14ac:dyDescent="0.25">
      <c r="A60" s="2113"/>
      <c r="B60" s="2115"/>
      <c r="C60" s="29">
        <v>13</v>
      </c>
      <c r="D60" s="28" t="e">
        <f>'BID II'!#REF!</f>
        <v>#REF!</v>
      </c>
      <c r="E60" s="13"/>
      <c r="F60" s="28" t="s">
        <v>1158</v>
      </c>
      <c r="G60" s="18" t="s">
        <v>1102</v>
      </c>
      <c r="H60" s="19" t="s">
        <v>1106</v>
      </c>
      <c r="I60" s="34">
        <v>82</v>
      </c>
      <c r="J60" s="34">
        <v>90</v>
      </c>
      <c r="K60" s="40"/>
      <c r="L60" s="91" t="e">
        <f>#REF!</f>
        <v>#REF!</v>
      </c>
      <c r="M60" s="19" t="s">
        <v>1104</v>
      </c>
    </row>
    <row r="61" spans="1:13" ht="105.75" customHeight="1" x14ac:dyDescent="0.25">
      <c r="A61" s="2113"/>
      <c r="B61" s="2115"/>
      <c r="C61" s="29">
        <v>14</v>
      </c>
      <c r="D61" s="28" t="e">
        <f>'BID II'!#REF!</f>
        <v>#REF!</v>
      </c>
      <c r="E61" s="13"/>
      <c r="F61" s="28" t="s">
        <v>1185</v>
      </c>
      <c r="G61" s="18" t="s">
        <v>1102</v>
      </c>
      <c r="H61" s="19" t="s">
        <v>1106</v>
      </c>
      <c r="I61" s="34"/>
      <c r="J61" s="34">
        <v>16</v>
      </c>
      <c r="K61" s="40"/>
      <c r="L61" s="91" t="e">
        <f>#REF!</f>
        <v>#REF!</v>
      </c>
      <c r="M61" s="19" t="s">
        <v>1104</v>
      </c>
    </row>
    <row r="62" spans="1:13" ht="105.75" customHeight="1" x14ac:dyDescent="0.25">
      <c r="A62" s="2113"/>
      <c r="B62" s="2115"/>
      <c r="C62" s="29">
        <v>15</v>
      </c>
      <c r="D62" s="28" t="e">
        <f>'BID II'!#REF!</f>
        <v>#REF!</v>
      </c>
      <c r="E62" s="13"/>
      <c r="F62" s="28" t="s">
        <v>1186</v>
      </c>
      <c r="G62" s="18" t="s">
        <v>1102</v>
      </c>
      <c r="H62" s="19" t="s">
        <v>1106</v>
      </c>
      <c r="I62" s="34">
        <v>3.5179999999999998</v>
      </c>
      <c r="J62" s="34">
        <v>3.3730000000000002</v>
      </c>
      <c r="K62" s="40"/>
      <c r="L62" s="91" t="e">
        <f>#REF!</f>
        <v>#REF!</v>
      </c>
      <c r="M62" s="19" t="s">
        <v>1104</v>
      </c>
    </row>
    <row r="63" spans="1:13" ht="105.75" customHeight="1" x14ac:dyDescent="0.25">
      <c r="A63" s="2113"/>
      <c r="B63" s="2115"/>
      <c r="C63" s="29">
        <v>16</v>
      </c>
      <c r="D63" s="28" t="e">
        <f>'BID II'!#REF!</f>
        <v>#REF!</v>
      </c>
      <c r="E63" s="13"/>
      <c r="F63" s="28" t="s">
        <v>1187</v>
      </c>
      <c r="G63" s="18" t="s">
        <v>1102</v>
      </c>
      <c r="H63" s="19" t="s">
        <v>1138</v>
      </c>
      <c r="I63" s="34"/>
      <c r="J63" s="34">
        <v>8</v>
      </c>
      <c r="K63" s="40"/>
      <c r="L63" s="91" t="e">
        <f>#REF!</f>
        <v>#REF!</v>
      </c>
      <c r="M63" s="19" t="s">
        <v>1104</v>
      </c>
    </row>
    <row r="64" spans="1:13" ht="105.75" customHeight="1" x14ac:dyDescent="0.25">
      <c r="A64" s="2113"/>
      <c r="B64" s="2115"/>
      <c r="C64" s="29">
        <v>17</v>
      </c>
      <c r="D64" s="28" t="e">
        <f>'BID II'!#REF!</f>
        <v>#REF!</v>
      </c>
      <c r="E64" s="13"/>
      <c r="F64" s="28" t="s">
        <v>1188</v>
      </c>
      <c r="G64" s="18" t="s">
        <v>1102</v>
      </c>
      <c r="H64" s="19" t="s">
        <v>1106</v>
      </c>
      <c r="I64" s="34"/>
      <c r="J64" s="34">
        <v>30</v>
      </c>
      <c r="K64" s="40"/>
      <c r="L64" s="91" t="e">
        <f>#REF!</f>
        <v>#REF!</v>
      </c>
      <c r="M64" s="19" t="s">
        <v>1104</v>
      </c>
    </row>
    <row r="65" spans="1:13" ht="105.75" customHeight="1" x14ac:dyDescent="0.25">
      <c r="A65" s="2113"/>
      <c r="B65" s="2115"/>
      <c r="C65" s="29">
        <v>18</v>
      </c>
      <c r="D65" s="28" t="e">
        <f>'BID II'!#REF!</f>
        <v>#REF!</v>
      </c>
      <c r="E65" s="13"/>
      <c r="F65" s="28" t="s">
        <v>1189</v>
      </c>
      <c r="G65" s="18" t="s">
        <v>1102</v>
      </c>
      <c r="H65" s="19" t="s">
        <v>1106</v>
      </c>
      <c r="I65" s="34">
        <v>2</v>
      </c>
      <c r="J65" s="34">
        <v>3</v>
      </c>
      <c r="K65" s="40"/>
      <c r="L65" s="91" t="e">
        <f>#REF!</f>
        <v>#REF!</v>
      </c>
      <c r="M65" s="19" t="s">
        <v>1104</v>
      </c>
    </row>
    <row r="66" spans="1:13" ht="105.75" customHeight="1" x14ac:dyDescent="0.25">
      <c r="A66" s="2113"/>
      <c r="B66" s="2115"/>
      <c r="C66" s="29">
        <v>19</v>
      </c>
      <c r="D66" s="28" t="e">
        <f>'BID II'!#REF!</f>
        <v>#REF!</v>
      </c>
      <c r="E66" s="13"/>
      <c r="F66" s="28" t="s">
        <v>1190</v>
      </c>
      <c r="G66" s="18" t="s">
        <v>1102</v>
      </c>
      <c r="H66" s="19" t="s">
        <v>1138</v>
      </c>
      <c r="I66" s="34">
        <v>55</v>
      </c>
      <c r="J66" s="34">
        <v>50</v>
      </c>
      <c r="K66" s="40"/>
      <c r="L66" s="91" t="e">
        <f>#REF!</f>
        <v>#REF!</v>
      </c>
      <c r="M66" s="19" t="s">
        <v>1104</v>
      </c>
    </row>
    <row r="67" spans="1:13" ht="105.75" customHeight="1" x14ac:dyDescent="0.25">
      <c r="A67" s="2113"/>
      <c r="B67" s="2115"/>
      <c r="C67" s="29">
        <v>20</v>
      </c>
      <c r="D67" s="28" t="e">
        <f>'BID II'!#REF!</f>
        <v>#REF!</v>
      </c>
      <c r="E67" s="13"/>
      <c r="F67" s="28" t="s">
        <v>1292</v>
      </c>
      <c r="G67" s="18" t="s">
        <v>1102</v>
      </c>
      <c r="H67" s="19" t="s">
        <v>1293</v>
      </c>
      <c r="I67" s="34">
        <v>3.5179999999999998</v>
      </c>
      <c r="J67" s="34">
        <v>3.3730000000000002</v>
      </c>
      <c r="K67" s="40"/>
      <c r="L67" s="91" t="e">
        <f>#REF!</f>
        <v>#REF!</v>
      </c>
      <c r="M67" s="19" t="s">
        <v>1104</v>
      </c>
    </row>
    <row r="68" spans="1:13" ht="105.75" customHeight="1" x14ac:dyDescent="0.25">
      <c r="A68" s="2113"/>
      <c r="B68" s="2115"/>
      <c r="C68" s="29">
        <v>21</v>
      </c>
      <c r="D68" s="28" t="e">
        <f>'BID II'!#REF!</f>
        <v>#REF!</v>
      </c>
      <c r="E68" s="13"/>
      <c r="F68" s="28" t="s">
        <v>1192</v>
      </c>
      <c r="G68" s="18" t="s">
        <v>1102</v>
      </c>
      <c r="H68" s="19" t="s">
        <v>1295</v>
      </c>
      <c r="I68" s="34">
        <v>3.5179999999999998</v>
      </c>
      <c r="J68" s="34">
        <v>3.3730000000000002</v>
      </c>
      <c r="K68" s="40"/>
      <c r="L68" s="91" t="e">
        <f>#REF!</f>
        <v>#REF!</v>
      </c>
      <c r="M68" s="19" t="s">
        <v>1104</v>
      </c>
    </row>
    <row r="69" spans="1:13" ht="105.75" customHeight="1" x14ac:dyDescent="0.25">
      <c r="A69" s="2113"/>
      <c r="B69" s="2115"/>
      <c r="C69" s="29">
        <v>22</v>
      </c>
      <c r="D69" s="28" t="e">
        <f>'BID II'!#REF!</f>
        <v>#REF!</v>
      </c>
      <c r="E69" s="13"/>
      <c r="F69" s="28" t="s">
        <v>1192</v>
      </c>
      <c r="G69" s="18" t="s">
        <v>1102</v>
      </c>
      <c r="H69" s="19" t="s">
        <v>1106</v>
      </c>
      <c r="I69" s="34">
        <v>3.5179999999999998</v>
      </c>
      <c r="J69" s="34">
        <v>3.3730000000000002</v>
      </c>
      <c r="K69" s="40"/>
      <c r="L69" s="91" t="e">
        <f>#REF!</f>
        <v>#REF!</v>
      </c>
      <c r="M69" s="19" t="s">
        <v>1104</v>
      </c>
    </row>
    <row r="70" spans="1:13" ht="105.75" customHeight="1" x14ac:dyDescent="0.25">
      <c r="A70" s="2113"/>
      <c r="B70" s="2115"/>
      <c r="C70" s="29">
        <v>23</v>
      </c>
      <c r="D70" s="28" t="e">
        <f>'BID II'!#REF!</f>
        <v>#REF!</v>
      </c>
      <c r="E70" s="13"/>
      <c r="F70" s="28" t="s">
        <v>1193</v>
      </c>
      <c r="G70" s="18" t="s">
        <v>1102</v>
      </c>
      <c r="H70" s="19" t="s">
        <v>1138</v>
      </c>
      <c r="I70" s="34"/>
      <c r="J70" s="34">
        <v>9</v>
      </c>
      <c r="K70" s="40"/>
      <c r="L70" s="91" t="e">
        <f>#REF!</f>
        <v>#REF!</v>
      </c>
      <c r="M70" s="19" t="s">
        <v>1104</v>
      </c>
    </row>
    <row r="71" spans="1:13" ht="105.75" customHeight="1" x14ac:dyDescent="0.25">
      <c r="A71" s="2113"/>
      <c r="B71" s="2115"/>
      <c r="C71" s="29">
        <v>24</v>
      </c>
      <c r="D71" s="28" t="e">
        <f>'BID II'!#REF!</f>
        <v>#REF!</v>
      </c>
      <c r="E71" s="13"/>
      <c r="F71" s="28" t="s">
        <v>1237</v>
      </c>
      <c r="G71" s="18" t="s">
        <v>1102</v>
      </c>
      <c r="H71" s="19" t="s">
        <v>1198</v>
      </c>
      <c r="I71" s="34">
        <v>3.5179999999999998</v>
      </c>
      <c r="J71" s="34">
        <v>3.3730000000000002</v>
      </c>
      <c r="K71" s="40"/>
      <c r="L71" s="91" t="e">
        <f>#REF!</f>
        <v>#REF!</v>
      </c>
      <c r="M71" s="19" t="s">
        <v>1104</v>
      </c>
    </row>
    <row r="72" spans="1:13" ht="105.75" customHeight="1" x14ac:dyDescent="0.25">
      <c r="A72" s="2113"/>
      <c r="B72" s="2115"/>
      <c r="C72" s="29">
        <v>25</v>
      </c>
      <c r="D72" s="28" t="e">
        <f>'BID II'!#REF!</f>
        <v>#REF!</v>
      </c>
      <c r="E72" s="13"/>
      <c r="F72" s="28" t="s">
        <v>1238</v>
      </c>
      <c r="G72" s="18" t="s">
        <v>1102</v>
      </c>
      <c r="H72" s="19" t="s">
        <v>1198</v>
      </c>
      <c r="I72" s="34">
        <v>3.5179999999999998</v>
      </c>
      <c r="J72" s="34">
        <v>3.3730000000000002</v>
      </c>
      <c r="K72" s="40"/>
      <c r="L72" s="91" t="e">
        <f>#REF!</f>
        <v>#REF!</v>
      </c>
      <c r="M72" s="19" t="s">
        <v>1104</v>
      </c>
    </row>
    <row r="73" spans="1:13" ht="105.75" customHeight="1" x14ac:dyDescent="0.25">
      <c r="A73" s="2113"/>
      <c r="B73" s="2115"/>
      <c r="C73" s="29">
        <v>26</v>
      </c>
      <c r="D73" s="28" t="e">
        <f>'BID II'!#REF!</f>
        <v>#REF!</v>
      </c>
      <c r="E73" s="13"/>
      <c r="F73" s="28" t="s">
        <v>1196</v>
      </c>
      <c r="G73" s="18" t="s">
        <v>1102</v>
      </c>
      <c r="H73" s="19" t="s">
        <v>1138</v>
      </c>
      <c r="I73" s="34">
        <v>3.5179999999999998</v>
      </c>
      <c r="J73" s="34">
        <v>3.3730000000000002</v>
      </c>
      <c r="K73" s="40"/>
      <c r="L73" s="91" t="e">
        <f>#REF!</f>
        <v>#REF!</v>
      </c>
      <c r="M73" s="19" t="s">
        <v>1104</v>
      </c>
    </row>
    <row r="74" spans="1:13" ht="105.75" customHeight="1" x14ac:dyDescent="0.25">
      <c r="A74" s="2113"/>
      <c r="B74" s="2115"/>
      <c r="C74" s="29">
        <v>27</v>
      </c>
      <c r="D74" s="28" t="e">
        <f>'BID II'!#REF!</f>
        <v>#REF!</v>
      </c>
      <c r="E74" s="13"/>
      <c r="F74" s="28" t="s">
        <v>1199</v>
      </c>
      <c r="G74" s="18" t="s">
        <v>1102</v>
      </c>
      <c r="H74" s="19" t="s">
        <v>1138</v>
      </c>
      <c r="I74" s="34">
        <v>3.5179999999999998</v>
      </c>
      <c r="J74" s="34">
        <v>3.3730000000000002</v>
      </c>
      <c r="K74" s="40"/>
      <c r="L74" s="91" t="e">
        <f>#REF!</f>
        <v>#REF!</v>
      </c>
      <c r="M74" s="19" t="s">
        <v>1104</v>
      </c>
    </row>
    <row r="75" spans="1:13" ht="105.75" customHeight="1" x14ac:dyDescent="0.25">
      <c r="A75" s="2113"/>
      <c r="B75" s="2115"/>
      <c r="C75" s="29">
        <v>28</v>
      </c>
      <c r="D75" s="28" t="e">
        <f>'BID II'!#REF!</f>
        <v>#REF!</v>
      </c>
      <c r="E75" s="13"/>
      <c r="F75" s="28" t="s">
        <v>1200</v>
      </c>
      <c r="G75" s="18" t="s">
        <v>1102</v>
      </c>
      <c r="H75" s="19" t="s">
        <v>1138</v>
      </c>
      <c r="I75" s="34">
        <v>3.5179999999999998</v>
      </c>
      <c r="J75" s="34">
        <v>3.3730000000000002</v>
      </c>
      <c r="K75" s="40"/>
      <c r="L75" s="91" t="e">
        <f>#REF!</f>
        <v>#REF!</v>
      </c>
      <c r="M75" s="19" t="s">
        <v>1104</v>
      </c>
    </row>
    <row r="76" spans="1:13" ht="105.75" customHeight="1" x14ac:dyDescent="0.25">
      <c r="A76" s="2113"/>
      <c r="B76" s="2115"/>
      <c r="C76" s="29">
        <v>29</v>
      </c>
      <c r="D76" s="28" t="e">
        <f>'BID II'!#REF!</f>
        <v>#REF!</v>
      </c>
      <c r="E76" s="29"/>
      <c r="F76" s="28" t="s">
        <v>1239</v>
      </c>
      <c r="G76" s="18" t="s">
        <v>1102</v>
      </c>
      <c r="H76" s="19" t="s">
        <v>1147</v>
      </c>
      <c r="I76" s="34">
        <v>3.5179999999999998</v>
      </c>
      <c r="J76" s="34">
        <v>3.3730000000000002</v>
      </c>
      <c r="K76" s="40"/>
      <c r="L76" s="91" t="e">
        <f>#REF!</f>
        <v>#REF!</v>
      </c>
      <c r="M76" s="19" t="s">
        <v>1104</v>
      </c>
    </row>
    <row r="77" spans="1:13" ht="105.75" customHeight="1" x14ac:dyDescent="0.25">
      <c r="A77" s="2113"/>
      <c r="B77" s="2115"/>
      <c r="C77" s="29">
        <v>30</v>
      </c>
      <c r="D77" s="28" t="e">
        <f>'BID II'!#REF!</f>
        <v>#REF!</v>
      </c>
      <c r="E77" s="29"/>
      <c r="F77" s="28" t="s">
        <v>1240</v>
      </c>
      <c r="G77" s="18" t="s">
        <v>1102</v>
      </c>
      <c r="H77" s="19" t="s">
        <v>1147</v>
      </c>
      <c r="I77" s="34">
        <v>3.5179999999999998</v>
      </c>
      <c r="J77" s="34">
        <v>3.3730000000000002</v>
      </c>
      <c r="K77" s="40"/>
      <c r="L77" s="91" t="e">
        <f>#REF!</f>
        <v>#REF!</v>
      </c>
      <c r="M77" s="19" t="s">
        <v>1104</v>
      </c>
    </row>
    <row r="78" spans="1:13" ht="105.75" customHeight="1" x14ac:dyDescent="0.25">
      <c r="A78" s="2113"/>
      <c r="B78" s="2115"/>
      <c r="C78" s="29">
        <v>31</v>
      </c>
      <c r="D78" s="28" t="e">
        <f>'BID II'!#REF!</f>
        <v>#REF!</v>
      </c>
      <c r="E78" s="29"/>
      <c r="F78" s="28" t="s">
        <v>1241</v>
      </c>
      <c r="G78" s="18" t="s">
        <v>1102</v>
      </c>
      <c r="H78" s="19" t="s">
        <v>1147</v>
      </c>
      <c r="I78" s="34">
        <v>3.5179999999999998</v>
      </c>
      <c r="J78" s="34">
        <v>3.3730000000000002</v>
      </c>
      <c r="K78" s="40"/>
      <c r="L78" s="91" t="e">
        <f>#REF!</f>
        <v>#REF!</v>
      </c>
      <c r="M78" s="19" t="s">
        <v>1104</v>
      </c>
    </row>
    <row r="79" spans="1:13" ht="105.75" customHeight="1" x14ac:dyDescent="0.25">
      <c r="A79" s="2113"/>
      <c r="B79" s="2115"/>
      <c r="C79" s="29">
        <v>32</v>
      </c>
      <c r="D79" s="28" t="e">
        <f>'BID II'!#REF!</f>
        <v>#REF!</v>
      </c>
      <c r="E79" s="13"/>
      <c r="F79" s="28" t="s">
        <v>1241</v>
      </c>
      <c r="G79" s="18" t="s">
        <v>1102</v>
      </c>
      <c r="H79" s="19" t="s">
        <v>1147</v>
      </c>
      <c r="I79" s="34">
        <v>3.5179999999999998</v>
      </c>
      <c r="J79" s="34">
        <v>3.3730000000000002</v>
      </c>
      <c r="K79" s="40"/>
      <c r="L79" s="91" t="e">
        <f>#REF!</f>
        <v>#REF!</v>
      </c>
      <c r="M79" s="19" t="s">
        <v>1104</v>
      </c>
    </row>
    <row r="80" spans="1:13" ht="105.75" customHeight="1" x14ac:dyDescent="0.25">
      <c r="A80" s="2113"/>
      <c r="B80" s="2115"/>
      <c r="C80" s="29">
        <v>33</v>
      </c>
      <c r="D80" s="28" t="e">
        <f>'BID II'!#REF!</f>
        <v>#REF!</v>
      </c>
      <c r="E80" s="13"/>
      <c r="F80" s="28" t="s">
        <v>1201</v>
      </c>
      <c r="G80" s="18" t="s">
        <v>1102</v>
      </c>
      <c r="H80" s="19" t="s">
        <v>1106</v>
      </c>
      <c r="I80" s="34">
        <v>3.5179999999999998</v>
      </c>
      <c r="J80" s="34">
        <v>3.3730000000000002</v>
      </c>
      <c r="K80" s="40"/>
      <c r="L80" s="91" t="e">
        <f>#REF!</f>
        <v>#REF!</v>
      </c>
      <c r="M80" s="19" t="s">
        <v>1104</v>
      </c>
    </row>
    <row r="81" spans="1:13" ht="105.75" customHeight="1" x14ac:dyDescent="0.25">
      <c r="A81" s="2113"/>
      <c r="B81" s="2115"/>
      <c r="C81" s="29">
        <v>34</v>
      </c>
      <c r="D81" s="28" t="str">
        <f>'BID II'!B3145</f>
        <v>: Penyelenggaraan Informasi Publik Desa ( Pembuatan dan Pemasangan Baliho APBDesa )</v>
      </c>
      <c r="E81" s="12"/>
      <c r="F81" s="28" t="s">
        <v>1202</v>
      </c>
      <c r="G81" s="18" t="s">
        <v>1102</v>
      </c>
      <c r="H81" s="19" t="s">
        <v>1106</v>
      </c>
      <c r="I81" s="34">
        <v>3.5179999999999998</v>
      </c>
      <c r="J81" s="34">
        <v>3.3730000000000002</v>
      </c>
      <c r="K81" s="40"/>
      <c r="L81" s="91" t="e">
        <f>#REF!</f>
        <v>#REF!</v>
      </c>
      <c r="M81" s="19" t="s">
        <v>1104</v>
      </c>
    </row>
    <row r="82" spans="1:13" ht="105.75" customHeight="1" x14ac:dyDescent="0.25">
      <c r="A82" s="2113"/>
      <c r="B82" s="2115"/>
      <c r="C82" s="29">
        <v>35</v>
      </c>
      <c r="D82" s="28" t="e">
        <f>#REF!</f>
        <v>#REF!</v>
      </c>
      <c r="E82" s="13"/>
      <c r="F82" s="28" t="s">
        <v>1191</v>
      </c>
      <c r="G82" s="18" t="s">
        <v>1102</v>
      </c>
      <c r="H82" s="19" t="s">
        <v>1106</v>
      </c>
      <c r="I82" s="34">
        <v>3.5179999999999998</v>
      </c>
      <c r="J82" s="34">
        <v>3.3730000000000002</v>
      </c>
      <c r="K82" s="40"/>
      <c r="L82" s="91" t="e">
        <f>#REF!</f>
        <v>#REF!</v>
      </c>
      <c r="M82" s="19" t="s">
        <v>1104</v>
      </c>
    </row>
    <row r="83" spans="1:13" ht="105.75" customHeight="1" x14ac:dyDescent="0.25">
      <c r="A83" s="2113"/>
      <c r="B83" s="2115"/>
      <c r="C83" s="29">
        <v>36</v>
      </c>
      <c r="D83" s="28" t="e">
        <f>#REF!</f>
        <v>#REF!</v>
      </c>
      <c r="E83" s="13"/>
      <c r="F83" s="28" t="s">
        <v>1194</v>
      </c>
      <c r="G83" s="18" t="s">
        <v>1102</v>
      </c>
      <c r="H83" s="19" t="s">
        <v>1195</v>
      </c>
      <c r="I83" s="34">
        <v>3.5179999999999998</v>
      </c>
      <c r="J83" s="34">
        <v>3.3730000000000002</v>
      </c>
      <c r="K83" s="40"/>
      <c r="L83" s="91" t="e">
        <f>#REF!</f>
        <v>#REF!</v>
      </c>
      <c r="M83" s="19" t="s">
        <v>1104</v>
      </c>
    </row>
    <row r="84" spans="1:13" ht="105.75" customHeight="1" x14ac:dyDescent="0.25">
      <c r="A84" s="2113"/>
      <c r="B84" s="2115"/>
      <c r="C84" s="29">
        <v>37</v>
      </c>
      <c r="D84" s="28" t="e">
        <f>#REF!</f>
        <v>#REF!</v>
      </c>
      <c r="E84" s="13"/>
      <c r="F84" s="28" t="s">
        <v>1197</v>
      </c>
      <c r="G84" s="18" t="s">
        <v>1102</v>
      </c>
      <c r="H84" s="19" t="s">
        <v>1198</v>
      </c>
      <c r="I84" s="34">
        <v>3.5179999999999998</v>
      </c>
      <c r="J84" s="34">
        <v>3.3730000000000002</v>
      </c>
      <c r="K84" s="40"/>
      <c r="L84" s="91" t="e">
        <f>#REF!</f>
        <v>#REF!</v>
      </c>
      <c r="M84" s="19" t="s">
        <v>1104</v>
      </c>
    </row>
    <row r="85" spans="1:13" ht="78.75" customHeight="1" x14ac:dyDescent="0.25">
      <c r="A85" s="2113"/>
      <c r="B85" s="2115"/>
      <c r="C85" s="29">
        <v>38</v>
      </c>
      <c r="D85" s="28" t="e">
        <f>#REF!</f>
        <v>#REF!</v>
      </c>
      <c r="E85" s="13"/>
      <c r="F85" s="28" t="s">
        <v>1197</v>
      </c>
      <c r="G85" s="18" t="s">
        <v>1102</v>
      </c>
      <c r="H85" s="19" t="s">
        <v>1198</v>
      </c>
      <c r="I85" s="34">
        <v>3.5179999999999998</v>
      </c>
      <c r="J85" s="34">
        <v>3.3730000000000002</v>
      </c>
      <c r="K85" s="40"/>
      <c r="L85" s="91" t="e">
        <f>#REF!</f>
        <v>#REF!</v>
      </c>
      <c r="M85" s="19" t="s">
        <v>1104</v>
      </c>
    </row>
    <row r="86" spans="1:13" ht="78.75" customHeight="1" x14ac:dyDescent="0.25">
      <c r="A86" s="2113"/>
      <c r="B86" s="2115"/>
      <c r="C86" s="29">
        <v>39</v>
      </c>
      <c r="D86" s="28" t="e">
        <f>#REF!</f>
        <v>#REF!</v>
      </c>
      <c r="E86" s="13"/>
      <c r="F86" s="28" t="s">
        <v>1197</v>
      </c>
      <c r="G86" s="18" t="s">
        <v>1102</v>
      </c>
      <c r="H86" s="19" t="s">
        <v>1198</v>
      </c>
      <c r="I86" s="34">
        <v>3.5179999999999998</v>
      </c>
      <c r="J86" s="34">
        <v>3.3730000000000002</v>
      </c>
      <c r="K86" s="40"/>
      <c r="L86" s="91" t="e">
        <f>#REF!</f>
        <v>#REF!</v>
      </c>
      <c r="M86" s="19" t="s">
        <v>1104</v>
      </c>
    </row>
    <row r="87" spans="1:13" ht="78.75" customHeight="1" x14ac:dyDescent="0.25">
      <c r="A87" s="2113"/>
      <c r="B87" s="2115"/>
      <c r="C87" s="29">
        <v>40</v>
      </c>
      <c r="D87" s="28" t="e">
        <f>#REF!</f>
        <v>#REF!</v>
      </c>
      <c r="E87" s="13"/>
      <c r="F87" s="28" t="s">
        <v>1197</v>
      </c>
      <c r="G87" s="18" t="s">
        <v>1102</v>
      </c>
      <c r="H87" s="19" t="s">
        <v>1198</v>
      </c>
      <c r="I87" s="34">
        <v>3.5179999999999998</v>
      </c>
      <c r="J87" s="34">
        <v>3.3730000000000002</v>
      </c>
      <c r="K87" s="40"/>
      <c r="L87" s="91" t="e">
        <f>#REF!</f>
        <v>#REF!</v>
      </c>
      <c r="M87" s="19" t="s">
        <v>1104</v>
      </c>
    </row>
    <row r="88" spans="1:13" ht="78.75" customHeight="1" x14ac:dyDescent="0.25">
      <c r="A88" s="2113"/>
      <c r="B88" s="2115"/>
      <c r="C88" s="29">
        <v>41</v>
      </c>
      <c r="D88" s="28" t="e">
        <f>#REF!</f>
        <v>#REF!</v>
      </c>
      <c r="E88" s="13"/>
      <c r="F88" s="28" t="s">
        <v>1197</v>
      </c>
      <c r="G88" s="18" t="s">
        <v>1102</v>
      </c>
      <c r="H88" s="19" t="s">
        <v>1198</v>
      </c>
      <c r="I88" s="34">
        <v>3.5179999999999998</v>
      </c>
      <c r="J88" s="34">
        <v>3.3730000000000002</v>
      </c>
      <c r="K88" s="40"/>
      <c r="L88" s="91" t="e">
        <f>#REF!</f>
        <v>#REF!</v>
      </c>
      <c r="M88" s="19" t="s">
        <v>1104</v>
      </c>
    </row>
    <row r="89" spans="1:13" ht="78.75" customHeight="1" x14ac:dyDescent="0.25">
      <c r="A89" s="2122"/>
      <c r="B89" s="2146"/>
      <c r="C89" s="29">
        <v>42</v>
      </c>
      <c r="D89" s="28" t="e">
        <f>#REF!</f>
        <v>#REF!</v>
      </c>
      <c r="E89" s="13"/>
      <c r="F89" s="28" t="s">
        <v>1197</v>
      </c>
      <c r="G89" s="18" t="s">
        <v>1102</v>
      </c>
      <c r="H89" s="19" t="s">
        <v>1198</v>
      </c>
      <c r="I89" s="34">
        <v>3.5179999999999998</v>
      </c>
      <c r="J89" s="34">
        <v>3.3730000000000002</v>
      </c>
      <c r="K89" s="40"/>
      <c r="L89" s="91" t="e">
        <f>#REF!</f>
        <v>#REF!</v>
      </c>
      <c r="M89" s="19" t="s">
        <v>1104</v>
      </c>
    </row>
    <row r="90" spans="1:13" ht="21.75" customHeight="1" x14ac:dyDescent="0.3">
      <c r="A90" s="2116" t="s">
        <v>1296</v>
      </c>
      <c r="B90" s="2116"/>
      <c r="C90" s="2116"/>
      <c r="D90" s="2116"/>
      <c r="E90" s="2116"/>
      <c r="F90" s="2116"/>
      <c r="G90" s="2116"/>
      <c r="H90" s="2116"/>
      <c r="I90" s="2116"/>
      <c r="J90" s="2116"/>
      <c r="K90" s="2116"/>
      <c r="L90" s="91" t="e">
        <f>SUM(L48:L89)</f>
        <v>#REF!</v>
      </c>
      <c r="M90" s="1"/>
    </row>
    <row r="91" spans="1:13" s="7" customFormat="1" ht="63" customHeight="1" x14ac:dyDescent="0.25">
      <c r="A91" s="2106" t="s">
        <v>1039</v>
      </c>
      <c r="B91" s="2106" t="s">
        <v>1074</v>
      </c>
      <c r="C91" s="2106"/>
      <c r="D91" s="2106"/>
      <c r="E91" s="2105" t="s">
        <v>1246</v>
      </c>
      <c r="F91" s="2105" t="s">
        <v>1247</v>
      </c>
      <c r="G91" s="2105" t="s">
        <v>1248</v>
      </c>
      <c r="H91" s="2105" t="s">
        <v>1249</v>
      </c>
      <c r="I91" s="2106" t="s">
        <v>1079</v>
      </c>
      <c r="J91" s="2106"/>
      <c r="K91" s="2106"/>
      <c r="L91" s="2105" t="s">
        <v>1250</v>
      </c>
      <c r="M91" s="2105"/>
    </row>
    <row r="92" spans="1:13" s="7" customFormat="1" ht="32.25" customHeight="1" x14ac:dyDescent="0.25">
      <c r="A92" s="2106"/>
      <c r="B92" s="84" t="s">
        <v>1083</v>
      </c>
      <c r="C92" s="85" t="s">
        <v>1251</v>
      </c>
      <c r="D92" s="85" t="s">
        <v>1252</v>
      </c>
      <c r="E92" s="2105"/>
      <c r="F92" s="2105"/>
      <c r="G92" s="2105"/>
      <c r="H92" s="2105"/>
      <c r="I92" s="84" t="s">
        <v>1253</v>
      </c>
      <c r="J92" s="84" t="s">
        <v>1254</v>
      </c>
      <c r="K92" s="84" t="s">
        <v>1255</v>
      </c>
      <c r="L92" s="89" t="s">
        <v>1256</v>
      </c>
      <c r="M92" s="84" t="s">
        <v>1086</v>
      </c>
    </row>
    <row r="93" spans="1:13" s="7" customFormat="1" ht="15.75" x14ac:dyDescent="0.25">
      <c r="A93" s="13" t="s">
        <v>1087</v>
      </c>
      <c r="B93" s="13" t="s">
        <v>1088</v>
      </c>
      <c r="C93" s="13" t="s">
        <v>1089</v>
      </c>
      <c r="D93" s="13" t="s">
        <v>1090</v>
      </c>
      <c r="E93" s="13" t="s">
        <v>1091</v>
      </c>
      <c r="F93" s="13" t="s">
        <v>1092</v>
      </c>
      <c r="G93" s="14" t="s">
        <v>1093</v>
      </c>
      <c r="H93" s="10" t="s">
        <v>1094</v>
      </c>
      <c r="I93" s="10" t="s">
        <v>1095</v>
      </c>
      <c r="J93" s="10" t="s">
        <v>1096</v>
      </c>
      <c r="K93" s="10" t="s">
        <v>1097</v>
      </c>
      <c r="L93" s="90" t="s">
        <v>1098</v>
      </c>
      <c r="M93" s="13" t="s">
        <v>488</v>
      </c>
    </row>
    <row r="94" spans="1:13" ht="80.25" customHeight="1" x14ac:dyDescent="0.25">
      <c r="A94" s="2112">
        <v>3</v>
      </c>
      <c r="B94" s="2114" t="s">
        <v>1301</v>
      </c>
      <c r="C94" s="29">
        <v>1</v>
      </c>
      <c r="D94" s="28" t="e">
        <f>'BID III'!#REF!</f>
        <v>#REF!</v>
      </c>
      <c r="E94" s="12"/>
      <c r="F94" s="28" t="s">
        <v>1111</v>
      </c>
      <c r="G94" s="18" t="s">
        <v>1102</v>
      </c>
      <c r="H94" s="19" t="s">
        <v>1106</v>
      </c>
      <c r="I94" s="34">
        <v>3.5179999999999998</v>
      </c>
      <c r="J94" s="34">
        <v>3.3730000000000002</v>
      </c>
      <c r="K94" s="40"/>
      <c r="L94" s="25" t="e">
        <f>'BID III'!#REF!</f>
        <v>#REF!</v>
      </c>
      <c r="M94" s="19" t="s">
        <v>1104</v>
      </c>
    </row>
    <row r="95" spans="1:13" ht="80.25" customHeight="1" x14ac:dyDescent="0.25">
      <c r="A95" s="2113"/>
      <c r="B95" s="2115"/>
      <c r="C95" s="29">
        <v>2</v>
      </c>
      <c r="D95" s="28" t="e">
        <f>'BID III'!#REF!</f>
        <v>#REF!</v>
      </c>
      <c r="E95" s="12"/>
      <c r="F95" s="28" t="s">
        <v>1111</v>
      </c>
      <c r="G95" s="18" t="s">
        <v>1102</v>
      </c>
      <c r="H95" s="19" t="s">
        <v>1106</v>
      </c>
      <c r="I95" s="34">
        <v>3.5179999999999998</v>
      </c>
      <c r="J95" s="34">
        <v>3.3730000000000002</v>
      </c>
      <c r="K95" s="40"/>
      <c r="L95" s="25" t="e">
        <f>'BID III'!#REF!</f>
        <v>#REF!</v>
      </c>
      <c r="M95" s="19" t="s">
        <v>1104</v>
      </c>
    </row>
    <row r="96" spans="1:13" ht="106.5" customHeight="1" x14ac:dyDescent="0.25">
      <c r="A96" s="2113"/>
      <c r="B96" s="2115"/>
      <c r="C96" s="29">
        <v>3</v>
      </c>
      <c r="D96" s="28" t="e">
        <f>'BID III'!#REF!</f>
        <v>#REF!</v>
      </c>
      <c r="E96" s="12"/>
      <c r="F96" s="28" t="s">
        <v>1203</v>
      </c>
      <c r="G96" s="18" t="s">
        <v>1102</v>
      </c>
      <c r="H96" s="19" t="s">
        <v>1106</v>
      </c>
      <c r="I96" s="34">
        <v>35</v>
      </c>
      <c r="J96" s="34"/>
      <c r="K96" s="40"/>
      <c r="L96" s="25" t="e">
        <f>'BID III'!#REF!</f>
        <v>#REF!</v>
      </c>
      <c r="M96" s="19" t="s">
        <v>1104</v>
      </c>
    </row>
    <row r="97" spans="1:13" ht="99.75" customHeight="1" x14ac:dyDescent="0.25">
      <c r="A97" s="2113"/>
      <c r="B97" s="2115"/>
      <c r="C97" s="29">
        <v>4</v>
      </c>
      <c r="D97" s="28" t="e">
        <f>'BID III'!#REF!</f>
        <v>#REF!</v>
      </c>
      <c r="E97" s="12"/>
      <c r="F97" s="28" t="s">
        <v>1204</v>
      </c>
      <c r="G97" s="18" t="s">
        <v>1102</v>
      </c>
      <c r="H97" s="19" t="s">
        <v>1138</v>
      </c>
      <c r="I97" s="34">
        <v>35</v>
      </c>
      <c r="J97" s="34"/>
      <c r="K97" s="40"/>
      <c r="L97" s="25" t="e">
        <f>'BID III'!#REF!</f>
        <v>#REF!</v>
      </c>
      <c r="M97" s="19" t="s">
        <v>1104</v>
      </c>
    </row>
    <row r="98" spans="1:13" ht="80.25" customHeight="1" x14ac:dyDescent="0.25">
      <c r="A98" s="2113"/>
      <c r="B98" s="2115"/>
      <c r="C98" s="29">
        <v>5</v>
      </c>
      <c r="D98" s="28" t="e">
        <f>'BID III'!#REF!</f>
        <v>#REF!</v>
      </c>
      <c r="E98" s="1"/>
      <c r="F98" s="28" t="s">
        <v>1217</v>
      </c>
      <c r="G98" s="18" t="s">
        <v>1102</v>
      </c>
      <c r="H98" s="19" t="s">
        <v>1138</v>
      </c>
      <c r="I98" s="34">
        <v>3.5179999999999998</v>
      </c>
      <c r="J98" s="34">
        <v>3.3730000000000002</v>
      </c>
      <c r="K98" s="40"/>
      <c r="L98" s="25" t="e">
        <f>'BID III'!#REF!</f>
        <v>#REF!</v>
      </c>
      <c r="M98" s="19" t="s">
        <v>1104</v>
      </c>
    </row>
    <row r="99" spans="1:13" ht="80.25" customHeight="1" x14ac:dyDescent="0.25">
      <c r="A99" s="2113"/>
      <c r="B99" s="2115"/>
      <c r="C99" s="29">
        <v>6</v>
      </c>
      <c r="D99" s="28" t="e">
        <f>'BID III'!#REF!</f>
        <v>#REF!</v>
      </c>
      <c r="E99" s="12"/>
      <c r="F99" s="28" t="s">
        <v>1205</v>
      </c>
      <c r="G99" s="18" t="s">
        <v>1102</v>
      </c>
      <c r="H99" s="19" t="s">
        <v>1106</v>
      </c>
      <c r="I99" s="34"/>
      <c r="J99" s="34">
        <v>29</v>
      </c>
      <c r="K99" s="40"/>
      <c r="L99" s="25" t="e">
        <f>'BID III'!#REF!</f>
        <v>#REF!</v>
      </c>
      <c r="M99" s="19" t="s">
        <v>1104</v>
      </c>
    </row>
    <row r="100" spans="1:13" ht="80.25" customHeight="1" x14ac:dyDescent="0.25">
      <c r="A100" s="2113"/>
      <c r="B100" s="2115"/>
      <c r="C100" s="29">
        <v>7</v>
      </c>
      <c r="D100" s="28" t="e">
        <f>'BID III'!#REF!</f>
        <v>#REF!</v>
      </c>
      <c r="E100" s="12"/>
      <c r="F100" s="28" t="s">
        <v>1206</v>
      </c>
      <c r="G100" s="18" t="s">
        <v>1102</v>
      </c>
      <c r="H100" s="19" t="s">
        <v>1106</v>
      </c>
      <c r="I100" s="34">
        <v>20</v>
      </c>
      <c r="J100" s="34">
        <v>8</v>
      </c>
      <c r="K100" s="40"/>
      <c r="L100" s="25" t="e">
        <f>'BID III'!#REF!</f>
        <v>#REF!</v>
      </c>
      <c r="M100" s="19" t="s">
        <v>1104</v>
      </c>
    </row>
    <row r="101" spans="1:13" ht="80.25" customHeight="1" x14ac:dyDescent="0.25">
      <c r="A101" s="2113"/>
      <c r="B101" s="2115"/>
      <c r="C101" s="29">
        <v>8</v>
      </c>
      <c r="D101" s="28" t="e">
        <f>'BID III'!#REF!</f>
        <v>#REF!</v>
      </c>
      <c r="E101" s="12"/>
      <c r="F101" s="28" t="s">
        <v>1206</v>
      </c>
      <c r="G101" s="18" t="s">
        <v>1102</v>
      </c>
      <c r="H101" s="19" t="s">
        <v>1106</v>
      </c>
      <c r="I101" s="34">
        <v>20</v>
      </c>
      <c r="J101" s="34">
        <v>8</v>
      </c>
      <c r="K101" s="40"/>
      <c r="L101" s="25" t="e">
        <f>'BID III'!#REF!</f>
        <v>#REF!</v>
      </c>
      <c r="M101" s="19" t="s">
        <v>1104</v>
      </c>
    </row>
    <row r="102" spans="1:13" ht="80.25" customHeight="1" x14ac:dyDescent="0.25">
      <c r="A102" s="2113"/>
      <c r="B102" s="2115"/>
      <c r="C102" s="29">
        <v>9</v>
      </c>
      <c r="D102" s="28" t="e">
        <f>'BID III'!#REF!</f>
        <v>#REF!</v>
      </c>
      <c r="E102" s="12"/>
      <c r="F102" s="28" t="s">
        <v>1206</v>
      </c>
      <c r="G102" s="18" t="s">
        <v>1102</v>
      </c>
      <c r="H102" s="19" t="s">
        <v>1106</v>
      </c>
      <c r="I102" s="34">
        <v>20</v>
      </c>
      <c r="J102" s="34">
        <v>8</v>
      </c>
      <c r="K102" s="40"/>
      <c r="L102" s="25" t="e">
        <f>'BID III'!#REF!</f>
        <v>#REF!</v>
      </c>
      <c r="M102" s="19" t="s">
        <v>1104</v>
      </c>
    </row>
    <row r="103" spans="1:13" ht="80.25" customHeight="1" x14ac:dyDescent="0.25">
      <c r="A103" s="2113"/>
      <c r="B103" s="2115"/>
      <c r="C103" s="29">
        <v>10</v>
      </c>
      <c r="D103" s="28" t="e">
        <f>'BID III'!#REF!</f>
        <v>#REF!</v>
      </c>
      <c r="E103" s="12"/>
      <c r="F103" s="28" t="s">
        <v>1216</v>
      </c>
      <c r="G103" s="18" t="s">
        <v>1102</v>
      </c>
      <c r="H103" s="19" t="s">
        <v>1106</v>
      </c>
      <c r="I103" s="34">
        <v>3.5179999999999998</v>
      </c>
      <c r="J103" s="34">
        <v>3.3730000000000002</v>
      </c>
      <c r="K103" s="40"/>
      <c r="L103" s="25" t="e">
        <f>'BID III'!#REF!</f>
        <v>#REF!</v>
      </c>
      <c r="M103" s="19" t="s">
        <v>1104</v>
      </c>
    </row>
    <row r="104" spans="1:13" ht="80.25" customHeight="1" x14ac:dyDescent="0.25">
      <c r="A104" s="2113"/>
      <c r="B104" s="2115"/>
      <c r="C104" s="29">
        <v>11</v>
      </c>
      <c r="D104" s="28" t="e">
        <f>'BID III'!#REF!</f>
        <v>#REF!</v>
      </c>
      <c r="E104" s="12"/>
      <c r="F104" s="28" t="s">
        <v>1206</v>
      </c>
      <c r="G104" s="18" t="s">
        <v>1102</v>
      </c>
      <c r="H104" s="19" t="s">
        <v>1106</v>
      </c>
      <c r="I104" s="34">
        <v>3.5179999999999998</v>
      </c>
      <c r="J104" s="34">
        <v>3.3730000000000002</v>
      </c>
      <c r="K104" s="40"/>
      <c r="L104" s="25" t="e">
        <f>'BID III'!#REF!</f>
        <v>#REF!</v>
      </c>
      <c r="M104" s="19" t="s">
        <v>1104</v>
      </c>
    </row>
    <row r="105" spans="1:13" ht="80.25" customHeight="1" x14ac:dyDescent="0.25">
      <c r="A105" s="2113"/>
      <c r="B105" s="2115"/>
      <c r="C105" s="29">
        <v>12</v>
      </c>
      <c r="D105" s="28" t="e">
        <f>'BID III'!#REF!</f>
        <v>#REF!</v>
      </c>
      <c r="E105" s="12"/>
      <c r="F105" s="28" t="s">
        <v>1206</v>
      </c>
      <c r="G105" s="18" t="s">
        <v>1102</v>
      </c>
      <c r="H105" s="19" t="s">
        <v>1106</v>
      </c>
      <c r="I105" s="34">
        <v>3.5179999999999998</v>
      </c>
      <c r="J105" s="34">
        <v>3.3730000000000002</v>
      </c>
      <c r="K105" s="40"/>
      <c r="L105" s="25" t="e">
        <f>'BID III'!#REF!</f>
        <v>#REF!</v>
      </c>
      <c r="M105" s="19" t="s">
        <v>1104</v>
      </c>
    </row>
    <row r="106" spans="1:13" ht="80.25" customHeight="1" x14ac:dyDescent="0.25">
      <c r="A106" s="2113"/>
      <c r="B106" s="2115"/>
      <c r="C106" s="29">
        <v>13</v>
      </c>
      <c r="D106" s="28" t="e">
        <f>'BID III'!#REF!</f>
        <v>#REF!</v>
      </c>
      <c r="E106" s="29"/>
      <c r="F106" s="28" t="s">
        <v>1215</v>
      </c>
      <c r="G106" s="18" t="s">
        <v>1102</v>
      </c>
      <c r="H106" s="19" t="s">
        <v>1106</v>
      </c>
      <c r="I106" s="34">
        <v>3.5179999999999998</v>
      </c>
      <c r="J106" s="34">
        <v>3.3730000000000002</v>
      </c>
      <c r="K106" s="40"/>
      <c r="L106" s="25" t="e">
        <f>'BID III'!#REF!</f>
        <v>#REF!</v>
      </c>
      <c r="M106" s="19" t="s">
        <v>1104</v>
      </c>
    </row>
    <row r="107" spans="1:13" ht="80.25" customHeight="1" x14ac:dyDescent="0.25">
      <c r="A107" s="2113"/>
      <c r="B107" s="2115"/>
      <c r="C107" s="29">
        <v>14</v>
      </c>
      <c r="D107" s="30" t="e">
        <f>'BID III'!#REF!</f>
        <v>#REF!</v>
      </c>
      <c r="E107" s="30"/>
      <c r="F107" s="28" t="s">
        <v>1215</v>
      </c>
      <c r="G107" s="18" t="s">
        <v>1102</v>
      </c>
      <c r="H107" s="19" t="s">
        <v>1106</v>
      </c>
      <c r="I107" s="34">
        <v>3.5179999999999998</v>
      </c>
      <c r="J107" s="34">
        <v>3.3730000000000002</v>
      </c>
      <c r="K107" s="40"/>
      <c r="L107" s="25" t="e">
        <f>'BID III'!#REF!</f>
        <v>#REF!</v>
      </c>
      <c r="M107" s="19" t="s">
        <v>1104</v>
      </c>
    </row>
    <row r="108" spans="1:13" ht="80.25" customHeight="1" x14ac:dyDescent="0.25">
      <c r="A108" s="2113"/>
      <c r="B108" s="2115"/>
      <c r="C108" s="29">
        <v>15</v>
      </c>
      <c r="D108" s="30" t="e">
        <f>'BID III'!#REF!</f>
        <v>#REF!</v>
      </c>
      <c r="E108" s="30"/>
      <c r="F108" s="28" t="s">
        <v>1406</v>
      </c>
      <c r="G108" s="18" t="s">
        <v>1102</v>
      </c>
      <c r="H108" s="19" t="s">
        <v>1106</v>
      </c>
      <c r="I108" s="34">
        <v>3.5179999999999998</v>
      </c>
      <c r="J108" s="34">
        <v>3.3730000000000002</v>
      </c>
      <c r="K108" s="40"/>
      <c r="L108" s="25" t="e">
        <f>'BID III'!#REF!</f>
        <v>#REF!</v>
      </c>
      <c r="M108" s="19" t="s">
        <v>1104</v>
      </c>
    </row>
    <row r="109" spans="1:13" ht="180.75" customHeight="1" x14ac:dyDescent="0.25">
      <c r="A109" s="2113"/>
      <c r="B109" s="2115"/>
      <c r="C109" s="29">
        <v>16</v>
      </c>
      <c r="D109" s="30" t="e">
        <f>'BID III'!#REF!</f>
        <v>#REF!</v>
      </c>
      <c r="E109" s="12"/>
      <c r="F109" s="28" t="s">
        <v>1207</v>
      </c>
      <c r="G109" s="18" t="s">
        <v>1102</v>
      </c>
      <c r="H109" s="19" t="s">
        <v>1106</v>
      </c>
      <c r="I109" s="34">
        <v>3.5179999999999998</v>
      </c>
      <c r="J109" s="34">
        <v>3.3730000000000002</v>
      </c>
      <c r="K109" s="40"/>
      <c r="L109" s="25" t="e">
        <f>'BID III'!#REF!</f>
        <v>#REF!</v>
      </c>
      <c r="M109" s="19" t="s">
        <v>1104</v>
      </c>
    </row>
    <row r="110" spans="1:13" ht="115.5" customHeight="1" x14ac:dyDescent="0.25">
      <c r="A110" s="2113"/>
      <c r="B110" s="2115"/>
      <c r="C110" s="29">
        <v>17</v>
      </c>
      <c r="D110" s="30" t="e">
        <f>#REF!</f>
        <v>#REF!</v>
      </c>
      <c r="E110" s="12"/>
      <c r="F110" s="28" t="s">
        <v>1206</v>
      </c>
      <c r="G110" s="18" t="s">
        <v>1102</v>
      </c>
      <c r="H110" s="19" t="s">
        <v>1106</v>
      </c>
      <c r="I110" s="34">
        <v>3.5179999999999998</v>
      </c>
      <c r="J110" s="34">
        <v>3.3730000000000002</v>
      </c>
      <c r="K110" s="40"/>
      <c r="L110" s="25" t="e">
        <f>#REF!</f>
        <v>#REF!</v>
      </c>
      <c r="M110" s="19" t="s">
        <v>1104</v>
      </c>
    </row>
    <row r="111" spans="1:13" ht="80.25" customHeight="1" x14ac:dyDescent="0.25">
      <c r="A111" s="2113"/>
      <c r="B111" s="2115"/>
      <c r="C111" s="29">
        <v>18</v>
      </c>
      <c r="D111" s="92" t="e">
        <f>'BID III'!#REF!</f>
        <v>#REF!</v>
      </c>
      <c r="E111" s="12"/>
      <c r="F111" s="28" t="s">
        <v>1206</v>
      </c>
      <c r="G111" s="18" t="s">
        <v>1102</v>
      </c>
      <c r="H111" s="19" t="s">
        <v>1106</v>
      </c>
      <c r="I111" s="34">
        <v>3.5179999999999998</v>
      </c>
      <c r="J111" s="34">
        <v>3.3730000000000002</v>
      </c>
      <c r="K111" s="40"/>
      <c r="L111" s="25" t="e">
        <f>'BID III'!#REF!</f>
        <v>#REF!</v>
      </c>
      <c r="M111" s="19" t="s">
        <v>1104</v>
      </c>
    </row>
    <row r="112" spans="1:13" ht="80.25" customHeight="1" x14ac:dyDescent="0.25">
      <c r="A112" s="2113"/>
      <c r="B112" s="2115"/>
      <c r="C112" s="29">
        <v>19</v>
      </c>
      <c r="D112" s="28" t="e">
        <f>'BID III'!#REF!</f>
        <v>#REF!</v>
      </c>
      <c r="E112" s="12"/>
      <c r="F112" s="28" t="s">
        <v>1208</v>
      </c>
      <c r="G112" s="18" t="s">
        <v>1102</v>
      </c>
      <c r="H112" s="19" t="s">
        <v>1106</v>
      </c>
      <c r="I112" s="34">
        <v>13</v>
      </c>
      <c r="J112" s="34">
        <v>4</v>
      </c>
      <c r="K112" s="40"/>
      <c r="L112" s="25" t="e">
        <f>'BID III'!#REF!</f>
        <v>#REF!</v>
      </c>
      <c r="M112" s="19" t="s">
        <v>1104</v>
      </c>
    </row>
    <row r="113" spans="1:13" ht="80.25" customHeight="1" x14ac:dyDescent="0.25">
      <c r="A113" s="2113"/>
      <c r="B113" s="2115"/>
      <c r="C113" s="29">
        <v>20</v>
      </c>
      <c r="D113" s="28" t="e">
        <f>'BID III'!#REF!</f>
        <v>#REF!</v>
      </c>
      <c r="E113" s="12"/>
      <c r="F113" s="28" t="s">
        <v>1209</v>
      </c>
      <c r="G113" s="18" t="s">
        <v>1102</v>
      </c>
      <c r="H113" s="19" t="s">
        <v>1106</v>
      </c>
      <c r="I113" s="34">
        <v>13</v>
      </c>
      <c r="J113" s="34">
        <v>4</v>
      </c>
      <c r="K113" s="40"/>
      <c r="L113" s="25" t="e">
        <f>'BID III'!#REF!</f>
        <v>#REF!</v>
      </c>
      <c r="M113" s="19" t="s">
        <v>1104</v>
      </c>
    </row>
    <row r="114" spans="1:13" ht="80.25" customHeight="1" x14ac:dyDescent="0.25">
      <c r="A114" s="2113"/>
      <c r="B114" s="2115"/>
      <c r="C114" s="29">
        <v>21</v>
      </c>
      <c r="D114" s="28" t="e">
        <f>'BID III'!#REF!</f>
        <v>#REF!</v>
      </c>
      <c r="E114" s="12"/>
      <c r="F114" s="28" t="s">
        <v>1210</v>
      </c>
      <c r="G114" s="18" t="s">
        <v>1102</v>
      </c>
      <c r="H114" s="19" t="s">
        <v>1106</v>
      </c>
      <c r="I114" s="34">
        <v>3.5179999999999998</v>
      </c>
      <c r="J114" s="34">
        <v>3.3730000000000002</v>
      </c>
      <c r="K114" s="40"/>
      <c r="L114" s="25" t="e">
        <f>'BID III'!#REF!</f>
        <v>#REF!</v>
      </c>
      <c r="M114" s="19" t="s">
        <v>1104</v>
      </c>
    </row>
    <row r="115" spans="1:13" ht="115.5" customHeight="1" x14ac:dyDescent="0.25">
      <c r="A115" s="2113"/>
      <c r="B115" s="2115"/>
      <c r="C115" s="29">
        <v>22</v>
      </c>
      <c r="D115" s="28" t="e">
        <f>'BID III'!#REF!</f>
        <v>#REF!</v>
      </c>
      <c r="E115" s="12"/>
      <c r="F115" s="28" t="s">
        <v>1206</v>
      </c>
      <c r="G115" s="18" t="s">
        <v>1102</v>
      </c>
      <c r="H115" s="19" t="s">
        <v>1106</v>
      </c>
      <c r="I115" s="34">
        <v>3.5179999999999998</v>
      </c>
      <c r="J115" s="34">
        <v>3.3730000000000002</v>
      </c>
      <c r="K115" s="40"/>
      <c r="L115" s="25" t="e">
        <f>'BID III'!#REF!</f>
        <v>#REF!</v>
      </c>
      <c r="M115" s="19" t="s">
        <v>1104</v>
      </c>
    </row>
    <row r="116" spans="1:13" ht="80.25" customHeight="1" x14ac:dyDescent="0.25">
      <c r="A116" s="2113"/>
      <c r="B116" s="2115"/>
      <c r="C116" s="29">
        <v>23</v>
      </c>
      <c r="D116" s="28" t="e">
        <f>'BID III'!#REF!</f>
        <v>#REF!</v>
      </c>
      <c r="E116" s="29"/>
      <c r="F116" s="28" t="s">
        <v>1211</v>
      </c>
      <c r="G116" s="18" t="s">
        <v>1102</v>
      </c>
      <c r="H116" s="19" t="s">
        <v>1106</v>
      </c>
      <c r="I116" s="34">
        <v>3.5179999999999998</v>
      </c>
      <c r="J116" s="34">
        <v>3.3730000000000002</v>
      </c>
      <c r="K116" s="40"/>
      <c r="L116" s="44" t="e">
        <f>'BID III'!#REF!</f>
        <v>#REF!</v>
      </c>
      <c r="M116" s="19" t="s">
        <v>1104</v>
      </c>
    </row>
    <row r="117" spans="1:13" ht="80.25" customHeight="1" x14ac:dyDescent="0.25">
      <c r="A117" s="2113"/>
      <c r="B117" s="2115"/>
      <c r="C117" s="29">
        <v>24</v>
      </c>
      <c r="D117" s="28" t="e">
        <f>'BID III'!#REF!</f>
        <v>#REF!</v>
      </c>
      <c r="E117" s="12"/>
      <c r="F117" s="28" t="s">
        <v>1212</v>
      </c>
      <c r="G117" s="18" t="s">
        <v>1102</v>
      </c>
      <c r="H117" s="19" t="s">
        <v>1106</v>
      </c>
      <c r="I117" s="34">
        <v>3.5179999999999998</v>
      </c>
      <c r="J117" s="34">
        <v>3.3730000000000002</v>
      </c>
      <c r="K117" s="40"/>
      <c r="L117" s="44" t="e">
        <f>'BID III'!#REF!</f>
        <v>#REF!</v>
      </c>
      <c r="M117" s="19" t="s">
        <v>1104</v>
      </c>
    </row>
    <row r="118" spans="1:13" ht="80.25" customHeight="1" x14ac:dyDescent="0.25">
      <c r="A118" s="2113"/>
      <c r="B118" s="2115"/>
      <c r="C118" s="29">
        <v>25</v>
      </c>
      <c r="D118" s="28" t="e">
        <f>'BID III'!#REF!</f>
        <v>#REF!</v>
      </c>
      <c r="E118" s="29"/>
      <c r="F118" s="28" t="s">
        <v>1213</v>
      </c>
      <c r="G118" s="18" t="s">
        <v>1102</v>
      </c>
      <c r="H118" s="19" t="s">
        <v>1106</v>
      </c>
      <c r="I118" s="34">
        <v>3.5179999999999998</v>
      </c>
      <c r="J118" s="34">
        <v>3.3730000000000002</v>
      </c>
      <c r="K118" s="40"/>
      <c r="L118" s="44" t="e">
        <f>'BID III'!#REF!</f>
        <v>#REF!</v>
      </c>
      <c r="M118" s="19" t="s">
        <v>1104</v>
      </c>
    </row>
    <row r="119" spans="1:13" ht="80.25" customHeight="1" x14ac:dyDescent="0.25">
      <c r="A119" s="2113"/>
      <c r="B119" s="2115"/>
      <c r="C119" s="29">
        <v>26</v>
      </c>
      <c r="D119" s="28" t="e">
        <f>'BID III'!#REF!</f>
        <v>#REF!</v>
      </c>
      <c r="E119" s="12"/>
      <c r="F119" s="28" t="s">
        <v>1214</v>
      </c>
      <c r="G119" s="18" t="s">
        <v>1102</v>
      </c>
      <c r="H119" s="19" t="s">
        <v>1106</v>
      </c>
      <c r="I119" s="34">
        <v>3.5179999999999998</v>
      </c>
      <c r="J119" s="34">
        <v>3.3730000000000002</v>
      </c>
      <c r="K119" s="40"/>
      <c r="L119" s="44" t="e">
        <f>'BID III'!#REF!</f>
        <v>#REF!</v>
      </c>
      <c r="M119" s="19" t="s">
        <v>1104</v>
      </c>
    </row>
    <row r="120" spans="1:13" ht="80.25" customHeight="1" x14ac:dyDescent="0.25">
      <c r="A120" s="2122"/>
      <c r="B120" s="2146"/>
      <c r="C120" s="29">
        <v>27</v>
      </c>
      <c r="D120" s="28" t="e">
        <f>'BID III'!#REF!</f>
        <v>#REF!</v>
      </c>
      <c r="E120" s="12"/>
      <c r="F120" s="28" t="s">
        <v>1214</v>
      </c>
      <c r="G120" s="18" t="s">
        <v>1102</v>
      </c>
      <c r="H120" s="19" t="s">
        <v>1106</v>
      </c>
      <c r="I120" s="34">
        <v>3.5179999999999998</v>
      </c>
      <c r="J120" s="34">
        <v>3.3730000000000002</v>
      </c>
      <c r="K120" s="40"/>
      <c r="L120" s="44" t="e">
        <f>'BID III'!#REF!</f>
        <v>#REF!</v>
      </c>
      <c r="M120" s="19" t="s">
        <v>1104</v>
      </c>
    </row>
    <row r="121" spans="1:13" ht="21.75" customHeight="1" x14ac:dyDescent="0.3">
      <c r="A121" s="2116" t="s">
        <v>1297</v>
      </c>
      <c r="B121" s="2116"/>
      <c r="C121" s="2116"/>
      <c r="D121" s="2116"/>
      <c r="E121" s="2116"/>
      <c r="F121" s="2116"/>
      <c r="G121" s="2116"/>
      <c r="H121" s="2116"/>
      <c r="I121" s="2116"/>
      <c r="J121" s="2116"/>
      <c r="K121" s="2116"/>
      <c r="L121" s="91" t="e">
        <f>SUM(L94:L120)</f>
        <v>#REF!</v>
      </c>
      <c r="M121" s="1"/>
    </row>
    <row r="122" spans="1:13" s="7" customFormat="1" ht="63" customHeight="1" x14ac:dyDescent="0.25">
      <c r="A122" s="2106" t="s">
        <v>1039</v>
      </c>
      <c r="B122" s="2106" t="s">
        <v>1074</v>
      </c>
      <c r="C122" s="2106"/>
      <c r="D122" s="2106"/>
      <c r="E122" s="2105" t="s">
        <v>1246</v>
      </c>
      <c r="F122" s="2105" t="s">
        <v>1247</v>
      </c>
      <c r="G122" s="2105" t="s">
        <v>1248</v>
      </c>
      <c r="H122" s="2105" t="s">
        <v>1249</v>
      </c>
      <c r="I122" s="2106" t="s">
        <v>1079</v>
      </c>
      <c r="J122" s="2106"/>
      <c r="K122" s="2106"/>
      <c r="L122" s="2105" t="s">
        <v>1250</v>
      </c>
      <c r="M122" s="2105"/>
    </row>
    <row r="123" spans="1:13" s="7" customFormat="1" ht="32.25" customHeight="1" x14ac:dyDescent="0.25">
      <c r="A123" s="2106"/>
      <c r="B123" s="84" t="s">
        <v>1083</v>
      </c>
      <c r="C123" s="85" t="s">
        <v>1251</v>
      </c>
      <c r="D123" s="85" t="s">
        <v>1252</v>
      </c>
      <c r="E123" s="2105"/>
      <c r="F123" s="2105"/>
      <c r="G123" s="2105"/>
      <c r="H123" s="2105"/>
      <c r="I123" s="84" t="s">
        <v>1253</v>
      </c>
      <c r="J123" s="84" t="s">
        <v>1254</v>
      </c>
      <c r="K123" s="84" t="s">
        <v>1255</v>
      </c>
      <c r="L123" s="89" t="s">
        <v>1256</v>
      </c>
      <c r="M123" s="84" t="s">
        <v>1086</v>
      </c>
    </row>
    <row r="124" spans="1:13" s="7" customFormat="1" ht="15.75" x14ac:dyDescent="0.25">
      <c r="A124" s="13" t="s">
        <v>1087</v>
      </c>
      <c r="B124" s="13" t="s">
        <v>1088</v>
      </c>
      <c r="C124" s="13" t="s">
        <v>1089</v>
      </c>
      <c r="D124" s="13" t="s">
        <v>1090</v>
      </c>
      <c r="E124" s="13" t="s">
        <v>1091</v>
      </c>
      <c r="F124" s="13" t="s">
        <v>1092</v>
      </c>
      <c r="G124" s="14" t="s">
        <v>1093</v>
      </c>
      <c r="H124" s="10" t="s">
        <v>1094</v>
      </c>
      <c r="I124" s="10" t="s">
        <v>1095</v>
      </c>
      <c r="J124" s="10" t="s">
        <v>1096</v>
      </c>
      <c r="K124" s="10" t="s">
        <v>1097</v>
      </c>
      <c r="L124" s="90" t="s">
        <v>1098</v>
      </c>
      <c r="M124" s="13" t="s">
        <v>488</v>
      </c>
    </row>
    <row r="125" spans="1:13" ht="80.25" customHeight="1" x14ac:dyDescent="0.25">
      <c r="A125" s="2112">
        <v>4</v>
      </c>
      <c r="B125" s="2114" t="s">
        <v>1302</v>
      </c>
      <c r="C125" s="29">
        <v>1</v>
      </c>
      <c r="D125" s="28" t="e">
        <f>'BID IV'!#REF!</f>
        <v>#REF!</v>
      </c>
      <c r="E125" s="12"/>
      <c r="F125" s="28" t="s">
        <v>1224</v>
      </c>
      <c r="G125" s="4" t="e">
        <f>#REF!</f>
        <v>#REF!</v>
      </c>
      <c r="H125" s="34" t="e">
        <f>#REF!</f>
        <v>#REF!</v>
      </c>
      <c r="I125" s="34">
        <v>30</v>
      </c>
      <c r="J125" s="34"/>
      <c r="K125" s="40"/>
      <c r="L125" s="91" t="e">
        <f>#REF!</f>
        <v>#REF!</v>
      </c>
      <c r="M125" s="19" t="s">
        <v>1104</v>
      </c>
    </row>
    <row r="126" spans="1:13" ht="80.25" customHeight="1" x14ac:dyDescent="0.25">
      <c r="A126" s="2113"/>
      <c r="B126" s="2115"/>
      <c r="C126" s="29">
        <v>2</v>
      </c>
      <c r="D126" s="28" t="e">
        <f>'BID IV'!#REF!</f>
        <v>#REF!</v>
      </c>
      <c r="E126" s="12"/>
      <c r="F126" s="28" t="s">
        <v>1224</v>
      </c>
      <c r="G126" s="4" t="e">
        <f>#REF!</f>
        <v>#REF!</v>
      </c>
      <c r="H126" s="34" t="e">
        <f>#REF!</f>
        <v>#REF!</v>
      </c>
      <c r="I126" s="34">
        <v>35</v>
      </c>
      <c r="J126" s="34"/>
      <c r="K126" s="40"/>
      <c r="L126" s="91" t="e">
        <f>#REF!</f>
        <v>#REF!</v>
      </c>
      <c r="M126" s="19" t="s">
        <v>1104</v>
      </c>
    </row>
    <row r="127" spans="1:13" ht="80.25" customHeight="1" x14ac:dyDescent="0.25">
      <c r="A127" s="2113"/>
      <c r="B127" s="2115"/>
      <c r="C127" s="29">
        <v>3</v>
      </c>
      <c r="D127" s="28" t="e">
        <f>'BID IV'!#REF!</f>
        <v>#REF!</v>
      </c>
      <c r="E127" s="12"/>
      <c r="F127" s="28" t="s">
        <v>1224</v>
      </c>
      <c r="G127" s="4" t="e">
        <f>#REF!</f>
        <v>#REF!</v>
      </c>
      <c r="H127" s="34" t="e">
        <f>#REF!</f>
        <v>#REF!</v>
      </c>
      <c r="I127" s="34">
        <v>30</v>
      </c>
      <c r="J127" s="34"/>
      <c r="K127" s="40"/>
      <c r="L127" s="91" t="e">
        <f>#REF!</f>
        <v>#REF!</v>
      </c>
      <c r="M127" s="19" t="s">
        <v>1104</v>
      </c>
    </row>
    <row r="128" spans="1:13" ht="80.25" customHeight="1" x14ac:dyDescent="0.25">
      <c r="A128" s="2113"/>
      <c r="B128" s="2115"/>
      <c r="C128" s="29">
        <v>4</v>
      </c>
      <c r="D128" s="28" t="e">
        <f>'BID IV'!#REF!</f>
        <v>#REF!</v>
      </c>
      <c r="E128" s="12"/>
      <c r="F128" s="28" t="s">
        <v>1218</v>
      </c>
      <c r="G128" s="4" t="e">
        <f>#REF!</f>
        <v>#REF!</v>
      </c>
      <c r="H128" s="34" t="e">
        <f>#REF!</f>
        <v>#REF!</v>
      </c>
      <c r="I128" s="34">
        <v>20</v>
      </c>
      <c r="J128" s="34">
        <v>8</v>
      </c>
      <c r="K128" s="40"/>
      <c r="L128" s="91" t="e">
        <f>#REF!</f>
        <v>#REF!</v>
      </c>
      <c r="M128" s="19" t="s">
        <v>1104</v>
      </c>
    </row>
    <row r="129" spans="1:15" ht="80.25" customHeight="1" x14ac:dyDescent="0.25">
      <c r="A129" s="2113"/>
      <c r="B129" s="2115"/>
      <c r="C129" s="29">
        <v>5</v>
      </c>
      <c r="D129" s="28" t="str">
        <f>'BID IV'!B156</f>
        <v>: Pelatihan Tim Verifikasi dan penyusunan RKP ( Pelatihan Penysunan RKPDes)</v>
      </c>
      <c r="E129" s="12"/>
      <c r="F129" s="28" t="s">
        <v>1219</v>
      </c>
      <c r="G129" s="4" t="e">
        <f>#REF!</f>
        <v>#REF!</v>
      </c>
      <c r="H129" s="34" t="e">
        <f>#REF!</f>
        <v>#REF!</v>
      </c>
      <c r="I129" s="34">
        <v>20</v>
      </c>
      <c r="J129" s="34">
        <v>8</v>
      </c>
      <c r="K129" s="40"/>
      <c r="L129" s="91" t="e">
        <f>#REF!</f>
        <v>#REF!</v>
      </c>
      <c r="M129" s="19" t="s">
        <v>1104</v>
      </c>
    </row>
    <row r="130" spans="1:15" ht="80.25" customHeight="1" x14ac:dyDescent="0.25">
      <c r="A130" s="2113"/>
      <c r="B130" s="2115"/>
      <c r="C130" s="29">
        <v>6</v>
      </c>
      <c r="D130" s="28" t="str">
        <f>'BID IV'!B193</f>
        <v>: Pelatihan Perangkat Desa</v>
      </c>
      <c r="E130" s="12"/>
      <c r="F130" s="28" t="s">
        <v>1220</v>
      </c>
      <c r="G130" s="4" t="e">
        <f>#REF!</f>
        <v>#REF!</v>
      </c>
      <c r="H130" s="34" t="e">
        <f>#REF!</f>
        <v>#REF!</v>
      </c>
      <c r="I130" s="34">
        <v>20</v>
      </c>
      <c r="J130" s="34">
        <v>8</v>
      </c>
      <c r="K130" s="40"/>
      <c r="L130" s="91" t="e">
        <f>#REF!</f>
        <v>#REF!</v>
      </c>
      <c r="M130" s="19" t="s">
        <v>1104</v>
      </c>
    </row>
    <row r="131" spans="1:15" ht="80.25" customHeight="1" x14ac:dyDescent="0.25">
      <c r="A131" s="2113"/>
      <c r="B131" s="2115"/>
      <c r="C131" s="29">
        <v>7</v>
      </c>
      <c r="D131" s="28" t="str">
        <f>'BID IV'!B233</f>
        <v>: Peningkatan Kapasitas BPD</v>
      </c>
      <c r="E131" s="12"/>
      <c r="F131" s="28" t="s">
        <v>1221</v>
      </c>
      <c r="G131" s="4" t="e">
        <f>#REF!</f>
        <v>#REF!</v>
      </c>
      <c r="H131" s="34" t="e">
        <f>#REF!</f>
        <v>#REF!</v>
      </c>
      <c r="I131" s="34">
        <v>8</v>
      </c>
      <c r="J131" s="34">
        <v>1</v>
      </c>
      <c r="K131" s="40"/>
      <c r="L131" s="91" t="e">
        <f>#REF!</f>
        <v>#REF!</v>
      </c>
      <c r="M131" s="19" t="s">
        <v>1104</v>
      </c>
    </row>
    <row r="132" spans="1:15" ht="80.25" customHeight="1" x14ac:dyDescent="0.25">
      <c r="A132" s="2113"/>
      <c r="B132" s="2115"/>
      <c r="C132" s="29">
        <v>8</v>
      </c>
      <c r="D132" s="28" t="e">
        <f>'BID IV'!#REF!</f>
        <v>#REF!</v>
      </c>
      <c r="E132" s="12"/>
      <c r="F132" s="28" t="s">
        <v>1223</v>
      </c>
      <c r="G132" s="4" t="e">
        <f>#REF!</f>
        <v>#REF!</v>
      </c>
      <c r="H132" s="34" t="e">
        <f>#REF!</f>
        <v>#REF!</v>
      </c>
      <c r="I132" s="34"/>
      <c r="J132" s="34">
        <v>32</v>
      </c>
      <c r="K132" s="40"/>
      <c r="L132" s="91" t="e">
        <f>#REF!</f>
        <v>#REF!</v>
      </c>
      <c r="M132" s="19" t="s">
        <v>1104</v>
      </c>
    </row>
    <row r="133" spans="1:15" ht="80.25" customHeight="1" x14ac:dyDescent="0.25">
      <c r="A133" s="2113"/>
      <c r="B133" s="2115"/>
      <c r="C133" s="29">
        <v>9</v>
      </c>
      <c r="D133" s="28" t="e">
        <f>'BID IV'!#REF!</f>
        <v>#REF!</v>
      </c>
      <c r="E133" s="12"/>
      <c r="F133" s="28" t="s">
        <v>1261</v>
      </c>
      <c r="G133" s="4" t="e">
        <f>#REF!</f>
        <v>#REF!</v>
      </c>
      <c r="H133" s="34" t="e">
        <f>#REF!</f>
        <v>#REF!</v>
      </c>
      <c r="I133" s="34">
        <v>5</v>
      </c>
      <c r="J133" s="34"/>
      <c r="K133" s="40"/>
      <c r="L133" s="91" t="e">
        <f>#REF!</f>
        <v>#REF!</v>
      </c>
      <c r="M133" s="19" t="s">
        <v>1104</v>
      </c>
    </row>
    <row r="134" spans="1:15" ht="80.25" customHeight="1" x14ac:dyDescent="0.25">
      <c r="A134" s="2113"/>
      <c r="B134" s="2115"/>
      <c r="C134" s="29">
        <v>10</v>
      </c>
      <c r="D134" s="82" t="e">
        <f>'BID IV'!#REF!</f>
        <v>#REF!</v>
      </c>
      <c r="E134" s="12"/>
      <c r="F134" s="28" t="s">
        <v>1222</v>
      </c>
      <c r="G134" s="4" t="e">
        <f>#REF!</f>
        <v>#REF!</v>
      </c>
      <c r="H134" s="34" t="e">
        <f>#REF!</f>
        <v>#REF!</v>
      </c>
      <c r="I134" s="34">
        <v>5</v>
      </c>
      <c r="J134" s="34">
        <v>3</v>
      </c>
      <c r="K134" s="40"/>
      <c r="L134" s="91" t="e">
        <f>#REF!</f>
        <v>#REF!</v>
      </c>
      <c r="M134" s="19" t="s">
        <v>1104</v>
      </c>
    </row>
    <row r="135" spans="1:15" ht="80.25" customHeight="1" x14ac:dyDescent="0.25">
      <c r="A135" s="2113"/>
      <c r="B135" s="2115"/>
      <c r="C135" s="29">
        <v>11</v>
      </c>
      <c r="D135" s="28" t="e">
        <f>#REF!</f>
        <v>#REF!</v>
      </c>
      <c r="E135" s="12"/>
      <c r="F135" s="28" t="s">
        <v>1224</v>
      </c>
      <c r="G135" s="4" t="e">
        <f>#REF!</f>
        <v>#REF!</v>
      </c>
      <c r="H135" s="34" t="e">
        <f>#REF!</f>
        <v>#REF!</v>
      </c>
      <c r="I135" s="34">
        <v>50</v>
      </c>
      <c r="J135" s="34"/>
      <c r="K135" s="40"/>
      <c r="L135" s="91" t="e">
        <f>#REF!</f>
        <v>#REF!</v>
      </c>
      <c r="M135" s="19" t="s">
        <v>1104</v>
      </c>
    </row>
    <row r="136" spans="1:15" ht="80.25" customHeight="1" x14ac:dyDescent="0.25">
      <c r="A136" s="2113"/>
      <c r="B136" s="2115"/>
      <c r="C136" s="29">
        <v>12</v>
      </c>
      <c r="D136" s="28" t="e">
        <f>#REF!</f>
        <v>#REF!</v>
      </c>
      <c r="E136" s="12"/>
      <c r="F136" s="28" t="s">
        <v>1223</v>
      </c>
      <c r="G136" s="4" t="e">
        <f>#REF!</f>
        <v>#REF!</v>
      </c>
      <c r="H136" s="34" t="e">
        <f>#REF!</f>
        <v>#REF!</v>
      </c>
      <c r="I136" s="34"/>
      <c r="J136" s="34">
        <v>32</v>
      </c>
      <c r="K136" s="40"/>
      <c r="L136" s="91" t="e">
        <f>#REF!</f>
        <v>#REF!</v>
      </c>
      <c r="M136" s="19" t="s">
        <v>1104</v>
      </c>
    </row>
    <row r="137" spans="1:15" ht="100.5" customHeight="1" x14ac:dyDescent="0.25">
      <c r="A137" s="2113"/>
      <c r="B137" s="2115"/>
      <c r="C137" s="29">
        <v>13</v>
      </c>
      <c r="D137" s="28" t="e">
        <f>#REF!</f>
        <v>#REF!</v>
      </c>
      <c r="E137" s="12"/>
      <c r="F137" s="28" t="s">
        <v>1222</v>
      </c>
      <c r="G137" s="4" t="e">
        <f>#REF!</f>
        <v>#REF!</v>
      </c>
      <c r="H137" s="34" t="e">
        <f>#REF!</f>
        <v>#REF!</v>
      </c>
      <c r="I137" s="34">
        <v>5</v>
      </c>
      <c r="J137" s="34">
        <v>3</v>
      </c>
      <c r="K137" s="40"/>
      <c r="L137" s="91" t="e">
        <f>#REF!</f>
        <v>#REF!</v>
      </c>
      <c r="M137" s="19" t="s">
        <v>1104</v>
      </c>
    </row>
    <row r="138" spans="1:15" ht="100.5" customHeight="1" x14ac:dyDescent="0.25">
      <c r="A138" s="2122"/>
      <c r="B138" s="2146"/>
      <c r="C138" s="29">
        <v>14</v>
      </c>
      <c r="D138" s="28" t="e">
        <f>'BID IV'!#REF!</f>
        <v>#REF!</v>
      </c>
      <c r="E138" s="12"/>
      <c r="F138" s="28" t="e">
        <f>#REF!</f>
        <v>#REF!</v>
      </c>
      <c r="G138" s="4" t="e">
        <f>#REF!</f>
        <v>#REF!</v>
      </c>
      <c r="H138" s="34" t="s">
        <v>260</v>
      </c>
      <c r="I138" s="34">
        <v>171</v>
      </c>
      <c r="J138" s="34"/>
      <c r="K138" s="40"/>
      <c r="L138" s="91" t="e">
        <f>'BID IV'!#REF!</f>
        <v>#REF!</v>
      </c>
      <c r="M138" s="19"/>
    </row>
    <row r="139" spans="1:15" ht="21.75" customHeight="1" x14ac:dyDescent="0.3">
      <c r="A139" s="2116" t="s">
        <v>1298</v>
      </c>
      <c r="B139" s="2116"/>
      <c r="C139" s="2116"/>
      <c r="D139" s="2116"/>
      <c r="E139" s="2116"/>
      <c r="F139" s="2116"/>
      <c r="G139" s="2116"/>
      <c r="H139" s="2116"/>
      <c r="I139" s="2116"/>
      <c r="J139" s="2116"/>
      <c r="K139" s="2116"/>
      <c r="L139" s="91" t="e">
        <f>SUM(L125:L137)</f>
        <v>#REF!</v>
      </c>
      <c r="M139" s="1"/>
    </row>
    <row r="140" spans="1:15" ht="40.5" customHeight="1" x14ac:dyDescent="0.4">
      <c r="A140" s="2110" t="s">
        <v>1284</v>
      </c>
      <c r="B140" s="2110"/>
      <c r="C140" s="2110"/>
      <c r="D140" s="2110"/>
      <c r="E140" s="2110"/>
      <c r="F140" s="2110"/>
      <c r="G140" s="2110"/>
      <c r="H140" s="2110"/>
      <c r="I140" s="2110"/>
      <c r="J140" s="2110"/>
      <c r="K140" s="2110"/>
      <c r="L140" s="31" t="e">
        <f>L139+L121+L90+L44</f>
        <v>#REF!</v>
      </c>
      <c r="M140" s="1"/>
    </row>
    <row r="141" spans="1:15" s="7" customFormat="1" ht="15.75" x14ac:dyDescent="0.25">
      <c r="B141" s="2108"/>
      <c r="C141" s="2108"/>
      <c r="D141" s="2108"/>
      <c r="H141" s="6"/>
      <c r="I141" s="6"/>
      <c r="J141" s="6"/>
      <c r="K141" s="9"/>
      <c r="O141" s="6"/>
    </row>
    <row r="142" spans="1:15" s="7" customFormat="1" ht="15.75" x14ac:dyDescent="0.25">
      <c r="B142" s="2108"/>
      <c r="C142" s="2108"/>
      <c r="D142" s="2108"/>
      <c r="H142" s="6"/>
      <c r="I142" s="6"/>
      <c r="J142" s="6"/>
      <c r="K142" s="9"/>
      <c r="O142" s="6"/>
    </row>
    <row r="143" spans="1:15" s="7" customFormat="1" ht="15.75" x14ac:dyDescent="0.25">
      <c r="D143" s="8"/>
      <c r="H143" s="6"/>
      <c r="I143" s="6"/>
      <c r="J143" s="6"/>
      <c r="K143" s="9"/>
      <c r="O143" s="6"/>
    </row>
    <row r="144" spans="1:15" ht="15.75" x14ac:dyDescent="0.25">
      <c r="A144" s="7"/>
      <c r="B144" s="7"/>
      <c r="C144" s="7"/>
      <c r="D144" s="88"/>
      <c r="E144" s="88"/>
      <c r="F144" s="88"/>
      <c r="G144" s="88"/>
      <c r="H144" s="88" t="s">
        <v>1402</v>
      </c>
      <c r="I144" s="88"/>
      <c r="J144" s="88"/>
      <c r="K144" s="88"/>
      <c r="L144" s="7"/>
    </row>
    <row r="145" spans="1:12" ht="15.75" x14ac:dyDescent="0.25">
      <c r="A145" s="7"/>
      <c r="B145" s="2096" t="s">
        <v>1332</v>
      </c>
      <c r="C145" s="2096"/>
      <c r="D145" s="2096"/>
      <c r="E145" s="88"/>
      <c r="F145" s="88"/>
      <c r="G145" s="88"/>
      <c r="H145" s="88" t="s">
        <v>1116</v>
      </c>
      <c r="I145" s="88"/>
      <c r="J145" s="88"/>
      <c r="K145" s="88"/>
      <c r="L145" s="7"/>
    </row>
    <row r="146" spans="1:12" ht="15.75" x14ac:dyDescent="0.25">
      <c r="A146" s="7"/>
      <c r="B146" s="2096" t="s">
        <v>1405</v>
      </c>
      <c r="C146" s="2096"/>
      <c r="D146" s="2096"/>
      <c r="E146" s="88"/>
      <c r="F146" s="88"/>
      <c r="G146" s="88"/>
      <c r="H146" s="88" t="s">
        <v>1403</v>
      </c>
      <c r="I146" s="88"/>
      <c r="J146" s="88"/>
      <c r="K146" s="88"/>
      <c r="L146" s="7"/>
    </row>
    <row r="147" spans="1:12" ht="15.75" x14ac:dyDescent="0.25">
      <c r="A147" s="7"/>
      <c r="B147" s="7"/>
      <c r="C147" s="7"/>
      <c r="D147" s="88"/>
      <c r="E147" s="88"/>
      <c r="F147" s="88"/>
      <c r="G147" s="88"/>
      <c r="H147" s="88"/>
      <c r="I147" s="88"/>
      <c r="J147" s="88"/>
      <c r="K147" s="88"/>
      <c r="L147" s="7"/>
    </row>
    <row r="148" spans="1:12" ht="15.75" x14ac:dyDescent="0.25">
      <c r="A148" s="7"/>
      <c r="B148" s="7"/>
      <c r="C148" s="7"/>
      <c r="D148" s="88"/>
      <c r="E148" s="88"/>
      <c r="F148" s="88"/>
      <c r="G148" s="88"/>
      <c r="H148" s="88"/>
      <c r="I148" s="88"/>
      <c r="J148" s="88"/>
      <c r="K148" s="88"/>
      <c r="L148" s="7"/>
    </row>
    <row r="149" spans="1:12" ht="16.5" x14ac:dyDescent="0.3">
      <c r="A149" s="7"/>
      <c r="B149" s="7"/>
      <c r="C149" s="7"/>
      <c r="D149" s="88"/>
      <c r="E149" s="88"/>
      <c r="F149" s="137"/>
      <c r="G149" s="88"/>
      <c r="H149" s="88"/>
      <c r="I149" s="88"/>
      <c r="J149" s="88"/>
      <c r="K149" s="88"/>
      <c r="L149" s="7"/>
    </row>
    <row r="150" spans="1:12" ht="15.75" x14ac:dyDescent="0.25">
      <c r="A150" s="7"/>
      <c r="B150" s="2096" t="s">
        <v>1117</v>
      </c>
      <c r="C150" s="2096"/>
      <c r="D150" s="2096"/>
      <c r="E150" s="88"/>
      <c r="F150" s="88"/>
      <c r="G150" s="88"/>
      <c r="H150" s="88" t="s">
        <v>1118</v>
      </c>
      <c r="I150" s="88"/>
      <c r="J150" s="88"/>
      <c r="K150" s="88"/>
      <c r="L150" s="7"/>
    </row>
    <row r="151" spans="1:12" ht="80.25" customHeight="1" x14ac:dyDescent="0.25"/>
    <row r="152" spans="1:12" ht="80.25" customHeight="1" x14ac:dyDescent="0.25"/>
    <row r="153" spans="1:12" ht="80.25" customHeight="1" x14ac:dyDescent="0.25"/>
    <row r="154" spans="1:12" ht="80.25" customHeight="1" x14ac:dyDescent="0.25"/>
    <row r="155" spans="1:12" ht="80.25" customHeight="1" x14ac:dyDescent="0.25"/>
    <row r="156" spans="1:12" ht="80.25" customHeight="1" x14ac:dyDescent="0.25"/>
    <row r="157" spans="1:12" ht="80.25" customHeight="1" x14ac:dyDescent="0.25"/>
    <row r="158" spans="1:12" ht="80.25" customHeight="1" x14ac:dyDescent="0.25"/>
    <row r="159" spans="1:12" ht="80.25" customHeight="1" x14ac:dyDescent="0.25"/>
    <row r="160" spans="1:12" ht="80.25" customHeight="1" x14ac:dyDescent="0.25"/>
    <row r="161" ht="80.25" customHeight="1" x14ac:dyDescent="0.25"/>
    <row r="162" ht="80.25" customHeight="1" x14ac:dyDescent="0.25"/>
    <row r="163" ht="80.25" customHeight="1" x14ac:dyDescent="0.25"/>
    <row r="164" ht="80.25" customHeight="1" x14ac:dyDescent="0.25"/>
    <row r="165" ht="80.25" customHeight="1" x14ac:dyDescent="0.25"/>
    <row r="166" ht="80.25" customHeight="1" x14ac:dyDescent="0.25"/>
    <row r="167" ht="80.25" customHeight="1" x14ac:dyDescent="0.25"/>
    <row r="168" ht="80.25" customHeight="1" x14ac:dyDescent="0.25"/>
  </sheetData>
  <mergeCells count="52">
    <mergeCell ref="A12:A42"/>
    <mergeCell ref="B12:B42"/>
    <mergeCell ref="A48:A89"/>
    <mergeCell ref="B48:B89"/>
    <mergeCell ref="A94:A120"/>
    <mergeCell ref="B94:B120"/>
    <mergeCell ref="A44:K44"/>
    <mergeCell ref="A45:A46"/>
    <mergeCell ref="B45:D45"/>
    <mergeCell ref="E45:E46"/>
    <mergeCell ref="F45:F46"/>
    <mergeCell ref="G45:G46"/>
    <mergeCell ref="H45:H46"/>
    <mergeCell ref="I45:K45"/>
    <mergeCell ref="A1:M1"/>
    <mergeCell ref="A2:M2"/>
    <mergeCell ref="A9:A10"/>
    <mergeCell ref="B9:D9"/>
    <mergeCell ref="E9:E10"/>
    <mergeCell ref="F9:F10"/>
    <mergeCell ref="G9:G10"/>
    <mergeCell ref="H9:H10"/>
    <mergeCell ref="I9:K9"/>
    <mergeCell ref="L9:M9"/>
    <mergeCell ref="L45:M45"/>
    <mergeCell ref="A90:K90"/>
    <mergeCell ref="A91:A92"/>
    <mergeCell ref="B91:D91"/>
    <mergeCell ref="E91:E92"/>
    <mergeCell ref="F91:F92"/>
    <mergeCell ref="G91:G92"/>
    <mergeCell ref="H91:H92"/>
    <mergeCell ref="I91:K91"/>
    <mergeCell ref="L91:M91"/>
    <mergeCell ref="A121:K121"/>
    <mergeCell ref="A122:A123"/>
    <mergeCell ref="B122:D122"/>
    <mergeCell ref="E122:E123"/>
    <mergeCell ref="F122:F123"/>
    <mergeCell ref="G122:G123"/>
    <mergeCell ref="H122:H123"/>
    <mergeCell ref="I122:K122"/>
    <mergeCell ref="B150:D150"/>
    <mergeCell ref="B141:D141"/>
    <mergeCell ref="B142:D142"/>
    <mergeCell ref="L122:M122"/>
    <mergeCell ref="A139:K139"/>
    <mergeCell ref="A140:K140"/>
    <mergeCell ref="B145:D145"/>
    <mergeCell ref="B146:D146"/>
    <mergeCell ref="B125:B138"/>
    <mergeCell ref="A125:A138"/>
  </mergeCells>
  <pageMargins left="1.2" right="0.7" top="0.75" bottom="0.75" header="0.3" footer="0.3"/>
  <pageSetup paperSize="5" scale="55" orientation="landscape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00"/>
  <sheetViews>
    <sheetView topLeftCell="A7" zoomScale="73" zoomScaleNormal="73" workbookViewId="0">
      <selection activeCell="L14" sqref="L14"/>
    </sheetView>
  </sheetViews>
  <sheetFormatPr defaultRowHeight="15" x14ac:dyDescent="0.25"/>
  <cols>
    <col min="1" max="1" width="26.5703125" customWidth="1"/>
    <col min="2" max="2" width="6.140625" customWidth="1"/>
    <col min="3" max="3" width="21.7109375" customWidth="1"/>
    <col min="4" max="4" width="20.7109375" customWidth="1"/>
    <col min="5" max="5" width="11.5703125" customWidth="1"/>
    <col min="6" max="6" width="17.7109375" customWidth="1"/>
    <col min="7" max="7" width="10" customWidth="1"/>
    <col min="8" max="8" width="10.42578125" customWidth="1"/>
    <col min="9" max="9" width="10" customWidth="1"/>
    <col min="10" max="10" width="10.5703125" customWidth="1"/>
    <col min="11" max="11" width="10.28515625" customWidth="1"/>
    <col min="12" max="12" width="15.42578125" bestFit="1" customWidth="1"/>
    <col min="13" max="13" width="10.28515625" bestFit="1" customWidth="1"/>
  </cols>
  <sheetData>
    <row r="1" spans="1:9" s="45" customFormat="1" ht="18.75" x14ac:dyDescent="0.3">
      <c r="A1" s="2119" t="s">
        <v>1303</v>
      </c>
      <c r="B1" s="2119"/>
      <c r="C1" s="2119"/>
      <c r="D1" s="2119"/>
      <c r="E1" s="2119"/>
      <c r="F1" s="2119"/>
      <c r="G1" s="2119"/>
      <c r="H1" s="2119"/>
      <c r="I1" s="2119"/>
    </row>
    <row r="2" spans="1:9" s="45" customFormat="1" ht="18.75" x14ac:dyDescent="0.3">
      <c r="A2" s="2119" t="s">
        <v>1226</v>
      </c>
      <c r="B2" s="2119"/>
      <c r="C2" s="2119"/>
      <c r="D2" s="2119"/>
      <c r="E2" s="2119"/>
      <c r="F2" s="2119"/>
      <c r="G2" s="2119"/>
      <c r="H2" s="2119"/>
      <c r="I2" s="2119"/>
    </row>
    <row r="3" spans="1:9" s="7" customFormat="1" ht="21.75" customHeight="1" x14ac:dyDescent="0.25">
      <c r="B3" s="6"/>
      <c r="C3" s="6"/>
    </row>
    <row r="4" spans="1:9" s="7" customFormat="1" ht="15.75" x14ac:dyDescent="0.25">
      <c r="A4" s="46" t="s">
        <v>1066</v>
      </c>
      <c r="B4" s="98" t="s">
        <v>1067</v>
      </c>
      <c r="C4" s="99"/>
    </row>
    <row r="5" spans="1:9" s="7" customFormat="1" ht="15.75" x14ac:dyDescent="0.25">
      <c r="A5" s="46" t="s">
        <v>1068</v>
      </c>
      <c r="B5" s="98" t="s">
        <v>1069</v>
      </c>
      <c r="C5" s="99"/>
    </row>
    <row r="6" spans="1:9" s="7" customFormat="1" ht="15.75" x14ac:dyDescent="0.25">
      <c r="A6" s="46" t="s">
        <v>1070</v>
      </c>
      <c r="B6" s="98" t="s">
        <v>1071</v>
      </c>
      <c r="C6" s="99"/>
    </row>
    <row r="7" spans="1:9" s="7" customFormat="1" ht="15.75" x14ac:dyDescent="0.25">
      <c r="A7" s="46" t="s">
        <v>1072</v>
      </c>
      <c r="B7" s="98" t="s">
        <v>1073</v>
      </c>
      <c r="C7" s="99"/>
    </row>
    <row r="8" spans="1:9" x14ac:dyDescent="0.25">
      <c r="B8" s="97"/>
      <c r="C8" s="97"/>
    </row>
    <row r="9" spans="1:9" ht="15.75" customHeight="1" x14ac:dyDescent="0.25">
      <c r="A9" s="2152" t="s">
        <v>1304</v>
      </c>
      <c r="B9" s="2154" t="s">
        <v>1039</v>
      </c>
      <c r="C9" s="2156" t="s">
        <v>1305</v>
      </c>
      <c r="D9" s="2156" t="s">
        <v>1306</v>
      </c>
      <c r="E9" s="2158" t="s">
        <v>1307</v>
      </c>
      <c r="F9" s="2158" t="s">
        <v>1308</v>
      </c>
      <c r="G9" s="2160" t="s">
        <v>1079</v>
      </c>
      <c r="H9" s="2161"/>
      <c r="I9" s="2162"/>
    </row>
    <row r="10" spans="1:9" ht="42.75" customHeight="1" x14ac:dyDescent="0.25">
      <c r="A10" s="2153"/>
      <c r="B10" s="2155"/>
      <c r="C10" s="2157"/>
      <c r="D10" s="2157"/>
      <c r="E10" s="2159"/>
      <c r="F10" s="2159"/>
      <c r="G10" s="37" t="s">
        <v>1253</v>
      </c>
      <c r="H10" s="37" t="s">
        <v>1254</v>
      </c>
      <c r="I10" s="37" t="s">
        <v>1255</v>
      </c>
    </row>
    <row r="11" spans="1:9" x14ac:dyDescent="0.25">
      <c r="A11" s="37" t="s">
        <v>1087</v>
      </c>
      <c r="B11" s="37" t="s">
        <v>1088</v>
      </c>
      <c r="C11" s="37" t="s">
        <v>1089</v>
      </c>
      <c r="D11" s="37" t="s">
        <v>1090</v>
      </c>
      <c r="E11" s="37" t="s">
        <v>1091</v>
      </c>
      <c r="F11" s="37" t="s">
        <v>1092</v>
      </c>
      <c r="G11" s="37" t="s">
        <v>1093</v>
      </c>
      <c r="H11" s="37" t="s">
        <v>1094</v>
      </c>
      <c r="I11" s="37" t="s">
        <v>1095</v>
      </c>
    </row>
    <row r="12" spans="1:9" ht="63" x14ac:dyDescent="0.25">
      <c r="A12" s="100" t="s">
        <v>1309</v>
      </c>
      <c r="B12" s="34">
        <v>1</v>
      </c>
      <c r="C12" s="101" t="s">
        <v>8</v>
      </c>
      <c r="D12" s="40" t="s">
        <v>1310</v>
      </c>
      <c r="E12" s="16" t="s">
        <v>1102</v>
      </c>
      <c r="F12" s="19" t="s">
        <v>1103</v>
      </c>
      <c r="G12" s="10">
        <v>1</v>
      </c>
      <c r="H12" s="10"/>
      <c r="I12" s="10"/>
    </row>
    <row r="13" spans="1:9" ht="63" x14ac:dyDescent="0.25">
      <c r="A13" s="104"/>
      <c r="B13" s="34">
        <v>2</v>
      </c>
      <c r="C13" s="101" t="s">
        <v>36</v>
      </c>
      <c r="D13" s="40" t="s">
        <v>1310</v>
      </c>
      <c r="E13" s="16" t="s">
        <v>1102</v>
      </c>
      <c r="F13" s="19" t="s">
        <v>1103</v>
      </c>
      <c r="G13" s="10">
        <v>12</v>
      </c>
      <c r="H13" s="10">
        <v>3</v>
      </c>
      <c r="I13" s="10"/>
    </row>
    <row r="14" spans="1:9" ht="75" x14ac:dyDescent="0.25">
      <c r="A14" s="104"/>
      <c r="B14" s="34">
        <v>3</v>
      </c>
      <c r="C14" s="101" t="s">
        <v>59</v>
      </c>
      <c r="D14" s="40" t="s">
        <v>1310</v>
      </c>
      <c r="E14" s="16" t="s">
        <v>1102</v>
      </c>
      <c r="F14" s="19" t="s">
        <v>1103</v>
      </c>
      <c r="G14" s="10">
        <v>13</v>
      </c>
      <c r="H14" s="10">
        <v>3</v>
      </c>
      <c r="I14" s="10"/>
    </row>
    <row r="15" spans="1:9" ht="63" x14ac:dyDescent="0.25">
      <c r="A15" s="104"/>
      <c r="B15" s="34">
        <v>4</v>
      </c>
      <c r="C15" s="101" t="s">
        <v>82</v>
      </c>
      <c r="D15" s="40" t="s">
        <v>1310</v>
      </c>
      <c r="E15" s="16" t="s">
        <v>1102</v>
      </c>
      <c r="F15" s="19" t="s">
        <v>1103</v>
      </c>
      <c r="G15" s="10">
        <v>3.5179999999999998</v>
      </c>
      <c r="H15" s="10">
        <v>3.3730000000000002</v>
      </c>
      <c r="I15" s="10"/>
    </row>
    <row r="16" spans="1:9" ht="75" x14ac:dyDescent="0.25">
      <c r="A16" s="104"/>
      <c r="B16" s="34">
        <v>5</v>
      </c>
      <c r="C16" s="101" t="s">
        <v>475</v>
      </c>
      <c r="D16" s="40" t="s">
        <v>1310</v>
      </c>
      <c r="E16" s="16" t="s">
        <v>1102</v>
      </c>
      <c r="F16" s="19" t="s">
        <v>1103</v>
      </c>
      <c r="G16" s="10">
        <v>20</v>
      </c>
      <c r="H16" s="10">
        <v>9</v>
      </c>
      <c r="I16" s="10"/>
    </row>
    <row r="17" spans="1:9" ht="63" x14ac:dyDescent="0.25">
      <c r="A17" s="104"/>
      <c r="B17" s="34">
        <v>6</v>
      </c>
      <c r="C17" s="101" t="s">
        <v>248</v>
      </c>
      <c r="D17" s="40" t="s">
        <v>1334</v>
      </c>
      <c r="E17" s="16" t="s">
        <v>1102</v>
      </c>
      <c r="F17" s="19" t="s">
        <v>1103</v>
      </c>
      <c r="G17" s="10">
        <v>8</v>
      </c>
      <c r="H17" s="10">
        <v>1</v>
      </c>
      <c r="I17" s="10"/>
    </row>
    <row r="18" spans="1:9" ht="63" x14ac:dyDescent="0.25">
      <c r="A18" s="104"/>
      <c r="B18" s="34">
        <v>7</v>
      </c>
      <c r="C18" s="101" t="s">
        <v>264</v>
      </c>
      <c r="D18" s="40" t="s">
        <v>1334</v>
      </c>
      <c r="E18" s="16" t="s">
        <v>1102</v>
      </c>
      <c r="F18" s="19" t="s">
        <v>1138</v>
      </c>
      <c r="G18" s="10">
        <v>8</v>
      </c>
      <c r="H18" s="10">
        <v>1</v>
      </c>
      <c r="I18" s="10"/>
    </row>
    <row r="19" spans="1:9" ht="63" x14ac:dyDescent="0.25">
      <c r="A19" s="104"/>
      <c r="B19" s="34">
        <v>8</v>
      </c>
      <c r="C19" s="101" t="s">
        <v>286</v>
      </c>
      <c r="D19" s="40" t="s">
        <v>1310</v>
      </c>
      <c r="E19" s="16" t="s">
        <v>1102</v>
      </c>
      <c r="F19" s="19" t="s">
        <v>1140</v>
      </c>
      <c r="G19" s="10">
        <v>3.5179999999999998</v>
      </c>
      <c r="H19" s="10">
        <v>3.3730000000000002</v>
      </c>
      <c r="I19" s="10"/>
    </row>
    <row r="20" spans="1:9" ht="63" x14ac:dyDescent="0.25">
      <c r="A20" s="104"/>
      <c r="B20" s="34">
        <v>9</v>
      </c>
      <c r="C20" s="101" t="s">
        <v>301</v>
      </c>
      <c r="D20" s="40" t="s">
        <v>1310</v>
      </c>
      <c r="E20" s="16" t="s">
        <v>1102</v>
      </c>
      <c r="F20" s="19" t="s">
        <v>1142</v>
      </c>
      <c r="G20" s="10">
        <v>9</v>
      </c>
      <c r="H20" s="10">
        <v>4</v>
      </c>
      <c r="I20" s="10"/>
    </row>
    <row r="21" spans="1:9" ht="59.25" customHeight="1" x14ac:dyDescent="0.25">
      <c r="A21" s="104"/>
      <c r="B21" s="34">
        <v>10</v>
      </c>
      <c r="C21" s="101" t="s">
        <v>1354</v>
      </c>
      <c r="D21" s="40" t="s">
        <v>1310</v>
      </c>
      <c r="E21" s="16" t="s">
        <v>1102</v>
      </c>
      <c r="F21" s="19" t="s">
        <v>1144</v>
      </c>
      <c r="G21" s="10">
        <v>3.5179999999999998</v>
      </c>
      <c r="H21" s="10">
        <v>3.3730000000000002</v>
      </c>
      <c r="I21" s="10"/>
    </row>
    <row r="22" spans="1:9" ht="63" x14ac:dyDescent="0.25">
      <c r="A22" s="104"/>
      <c r="B22" s="34">
        <v>11</v>
      </c>
      <c r="C22" s="101" t="s">
        <v>482</v>
      </c>
      <c r="D22" s="40" t="s">
        <v>1310</v>
      </c>
      <c r="E22" s="16" t="s">
        <v>1102</v>
      </c>
      <c r="F22" s="19" t="s">
        <v>1103</v>
      </c>
      <c r="G22" s="10">
        <v>3.5179999999999998</v>
      </c>
      <c r="H22" s="10">
        <v>3.3730000000000002</v>
      </c>
      <c r="I22" s="10"/>
    </row>
    <row r="23" spans="1:9" ht="63" x14ac:dyDescent="0.25">
      <c r="A23" s="104"/>
      <c r="B23" s="34">
        <v>12</v>
      </c>
      <c r="C23" s="101" t="s">
        <v>490</v>
      </c>
      <c r="D23" s="40" t="s">
        <v>1310</v>
      </c>
      <c r="E23" s="16" t="s">
        <v>1102</v>
      </c>
      <c r="F23" s="19" t="s">
        <v>1103</v>
      </c>
      <c r="G23" s="10">
        <v>20</v>
      </c>
      <c r="H23" s="10">
        <v>8</v>
      </c>
      <c r="I23" s="10"/>
    </row>
    <row r="24" spans="1:9" ht="63" x14ac:dyDescent="0.25">
      <c r="A24" s="104"/>
      <c r="B24" s="34">
        <v>13</v>
      </c>
      <c r="C24" s="101" t="s">
        <v>539</v>
      </c>
      <c r="D24" s="40" t="s">
        <v>1310</v>
      </c>
      <c r="E24" s="16" t="s">
        <v>1102</v>
      </c>
      <c r="F24" s="19" t="s">
        <v>1103</v>
      </c>
      <c r="G24" s="10">
        <v>1</v>
      </c>
      <c r="H24" s="10"/>
      <c r="I24" s="10"/>
    </row>
    <row r="25" spans="1:9" ht="63" x14ac:dyDescent="0.25">
      <c r="A25" s="104"/>
      <c r="B25" s="34">
        <v>14</v>
      </c>
      <c r="C25" s="101" t="s">
        <v>421</v>
      </c>
      <c r="D25" s="40" t="s">
        <v>1310</v>
      </c>
      <c r="E25" s="16" t="s">
        <v>1102</v>
      </c>
      <c r="F25" s="19" t="s">
        <v>1144</v>
      </c>
      <c r="G25" s="10">
        <v>20</v>
      </c>
      <c r="H25" s="10">
        <v>8</v>
      </c>
      <c r="I25" s="10"/>
    </row>
    <row r="26" spans="1:9" ht="63" x14ac:dyDescent="0.25">
      <c r="A26" s="104"/>
      <c r="B26" s="34">
        <v>15</v>
      </c>
      <c r="C26" s="101" t="s">
        <v>544</v>
      </c>
      <c r="D26" s="40" t="s">
        <v>1310</v>
      </c>
      <c r="E26" s="16" t="s">
        <v>1102</v>
      </c>
      <c r="F26" s="19" t="s">
        <v>1147</v>
      </c>
      <c r="G26" s="10">
        <v>3.5179999999999998</v>
      </c>
      <c r="H26" s="10">
        <v>3.3730000000000002</v>
      </c>
      <c r="I26" s="10"/>
    </row>
    <row r="27" spans="1:9" ht="66" customHeight="1" x14ac:dyDescent="0.25">
      <c r="A27" s="104"/>
      <c r="B27" s="34">
        <v>16</v>
      </c>
      <c r="C27" s="101" t="s">
        <v>551</v>
      </c>
      <c r="D27" s="40" t="s">
        <v>1310</v>
      </c>
      <c r="E27" s="16" t="s">
        <v>1102</v>
      </c>
      <c r="F27" s="19" t="s">
        <v>1147</v>
      </c>
      <c r="G27" s="10">
        <v>3.5179999999999998</v>
      </c>
      <c r="H27" s="10">
        <v>3.3730000000000002</v>
      </c>
      <c r="I27" s="10"/>
    </row>
    <row r="28" spans="1:9" ht="69" customHeight="1" x14ac:dyDescent="0.25">
      <c r="A28" s="104"/>
      <c r="B28" s="34">
        <v>17</v>
      </c>
      <c r="C28" s="101" t="s">
        <v>552</v>
      </c>
      <c r="D28" s="40" t="s">
        <v>1334</v>
      </c>
      <c r="E28" s="16" t="s">
        <v>1102</v>
      </c>
      <c r="F28" s="19" t="s">
        <v>1147</v>
      </c>
      <c r="G28" s="10">
        <v>3.5179999999999998</v>
      </c>
      <c r="H28" s="10">
        <v>3.3730000000000002</v>
      </c>
      <c r="I28" s="10"/>
    </row>
    <row r="29" spans="1:9" ht="111" customHeight="1" x14ac:dyDescent="0.25">
      <c r="A29" s="104"/>
      <c r="B29" s="34">
        <v>18</v>
      </c>
      <c r="C29" s="101" t="s">
        <v>553</v>
      </c>
      <c r="D29" s="40" t="s">
        <v>1310</v>
      </c>
      <c r="E29" s="16" t="s">
        <v>1102</v>
      </c>
      <c r="F29" s="19" t="s">
        <v>1147</v>
      </c>
      <c r="G29" s="10">
        <v>3.5179999999999998</v>
      </c>
      <c r="H29" s="10">
        <v>3.3730000000000002</v>
      </c>
      <c r="I29" s="10"/>
    </row>
    <row r="30" spans="1:9" ht="63" x14ac:dyDescent="0.25">
      <c r="A30" s="104"/>
      <c r="B30" s="34">
        <v>19</v>
      </c>
      <c r="C30" s="101" t="s">
        <v>554</v>
      </c>
      <c r="D30" s="40" t="s">
        <v>1310</v>
      </c>
      <c r="E30" s="16" t="s">
        <v>1102</v>
      </c>
      <c r="F30" s="19" t="s">
        <v>1147</v>
      </c>
      <c r="G30" s="10">
        <v>3.5179999999999998</v>
      </c>
      <c r="H30" s="10">
        <v>3.3730000000000002</v>
      </c>
      <c r="I30" s="10"/>
    </row>
    <row r="31" spans="1:9" ht="63" x14ac:dyDescent="0.25">
      <c r="A31" s="104"/>
      <c r="B31" s="34">
        <v>20</v>
      </c>
      <c r="C31" s="101" t="s">
        <v>1288</v>
      </c>
      <c r="D31" s="40" t="s">
        <v>1312</v>
      </c>
      <c r="E31" s="16" t="s">
        <v>1102</v>
      </c>
      <c r="F31" s="10" t="s">
        <v>1106</v>
      </c>
      <c r="G31" s="102">
        <v>5</v>
      </c>
      <c r="H31" s="102"/>
      <c r="I31" s="1"/>
    </row>
    <row r="32" spans="1:9" ht="63" x14ac:dyDescent="0.25">
      <c r="A32" s="104"/>
      <c r="B32" s="34">
        <v>21</v>
      </c>
      <c r="C32" s="101" t="s">
        <v>1287</v>
      </c>
      <c r="D32" s="40" t="s">
        <v>1311</v>
      </c>
      <c r="E32" s="16" t="s">
        <v>1102</v>
      </c>
      <c r="F32" s="10" t="s">
        <v>1106</v>
      </c>
      <c r="G32" s="102">
        <v>5</v>
      </c>
      <c r="H32" s="102">
        <v>3</v>
      </c>
      <c r="I32" s="1"/>
    </row>
    <row r="33" spans="1:9" ht="114" customHeight="1" x14ac:dyDescent="0.25">
      <c r="A33" s="104"/>
      <c r="B33" s="34">
        <v>22</v>
      </c>
      <c r="C33" s="101" t="s">
        <v>501</v>
      </c>
      <c r="D33" s="40" t="s">
        <v>1311</v>
      </c>
      <c r="E33" s="16" t="s">
        <v>1102</v>
      </c>
      <c r="F33" s="10" t="s">
        <v>1106</v>
      </c>
      <c r="G33" s="102">
        <v>5</v>
      </c>
      <c r="H33" s="102">
        <v>3</v>
      </c>
      <c r="I33" s="1"/>
    </row>
    <row r="34" spans="1:9" ht="114" customHeight="1" x14ac:dyDescent="0.25">
      <c r="A34" s="104"/>
      <c r="B34" s="34">
        <v>23</v>
      </c>
      <c r="C34" s="101" t="e">
        <f>#REF!</f>
        <v>#REF!</v>
      </c>
      <c r="D34" s="40" t="s">
        <v>1311</v>
      </c>
      <c r="E34" s="16" t="s">
        <v>1102</v>
      </c>
      <c r="F34" s="10" t="s">
        <v>260</v>
      </c>
      <c r="G34" s="102">
        <v>171</v>
      </c>
      <c r="H34" s="102"/>
      <c r="I34" s="1"/>
    </row>
    <row r="35" spans="1:9" x14ac:dyDescent="0.25">
      <c r="A35" s="100"/>
      <c r="B35" s="34"/>
      <c r="C35" s="101"/>
      <c r="D35" s="40"/>
      <c r="E35" s="41"/>
      <c r="F35" s="34"/>
      <c r="G35" s="102"/>
      <c r="H35" s="102"/>
      <c r="I35" s="1"/>
    </row>
    <row r="36" spans="1:9" ht="63" x14ac:dyDescent="0.25">
      <c r="A36" s="100" t="s">
        <v>1313</v>
      </c>
      <c r="B36" s="34">
        <v>1</v>
      </c>
      <c r="C36" s="101" t="s">
        <v>8</v>
      </c>
      <c r="D36" s="40" t="s">
        <v>1310</v>
      </c>
      <c r="E36" s="16" t="s">
        <v>1102</v>
      </c>
      <c r="F36" s="19" t="s">
        <v>1103</v>
      </c>
      <c r="G36" s="10">
        <v>1</v>
      </c>
      <c r="H36" s="10"/>
      <c r="I36" s="10"/>
    </row>
    <row r="37" spans="1:9" ht="63" x14ac:dyDescent="0.25">
      <c r="A37" s="109"/>
      <c r="B37" s="34">
        <v>2</v>
      </c>
      <c r="C37" s="101" t="s">
        <v>36</v>
      </c>
      <c r="D37" s="40" t="s">
        <v>1310</v>
      </c>
      <c r="E37" s="16" t="s">
        <v>1102</v>
      </c>
      <c r="F37" s="19" t="s">
        <v>1103</v>
      </c>
      <c r="G37" s="10">
        <v>12</v>
      </c>
      <c r="H37" s="10">
        <v>3</v>
      </c>
      <c r="I37" s="10"/>
    </row>
    <row r="38" spans="1:9" ht="75" x14ac:dyDescent="0.25">
      <c r="A38" s="109"/>
      <c r="B38" s="34">
        <v>3</v>
      </c>
      <c r="C38" s="101" t="s">
        <v>59</v>
      </c>
      <c r="D38" s="40" t="s">
        <v>1310</v>
      </c>
      <c r="E38" s="16" t="s">
        <v>1102</v>
      </c>
      <c r="F38" s="19" t="s">
        <v>1103</v>
      </c>
      <c r="G38" s="10">
        <v>13</v>
      </c>
      <c r="H38" s="10">
        <v>3</v>
      </c>
      <c r="I38" s="10"/>
    </row>
    <row r="39" spans="1:9" ht="63" x14ac:dyDescent="0.25">
      <c r="A39" s="109"/>
      <c r="B39" s="34">
        <v>4</v>
      </c>
      <c r="C39" s="101" t="s">
        <v>82</v>
      </c>
      <c r="D39" s="40" t="s">
        <v>1310</v>
      </c>
      <c r="E39" s="16" t="s">
        <v>1102</v>
      </c>
      <c r="F39" s="19" t="s">
        <v>1103</v>
      </c>
      <c r="G39" s="10">
        <v>3.5179999999999998</v>
      </c>
      <c r="H39" s="10">
        <v>3.3730000000000002</v>
      </c>
      <c r="I39" s="10"/>
    </row>
    <row r="40" spans="1:9" ht="75" x14ac:dyDescent="0.25">
      <c r="A40" s="109"/>
      <c r="B40" s="34">
        <v>5</v>
      </c>
      <c r="C40" s="101" t="s">
        <v>475</v>
      </c>
      <c r="D40" s="40" t="s">
        <v>1310</v>
      </c>
      <c r="E40" s="16" t="s">
        <v>1102</v>
      </c>
      <c r="F40" s="19" t="s">
        <v>1103</v>
      </c>
      <c r="G40" s="10">
        <v>20</v>
      </c>
      <c r="H40" s="10">
        <v>9</v>
      </c>
      <c r="I40" s="10"/>
    </row>
    <row r="41" spans="1:9" ht="63" x14ac:dyDescent="0.25">
      <c r="A41" s="109"/>
      <c r="B41" s="34">
        <v>6</v>
      </c>
      <c r="C41" s="101" t="s">
        <v>248</v>
      </c>
      <c r="D41" s="40" t="s">
        <v>1334</v>
      </c>
      <c r="E41" s="16" t="s">
        <v>1102</v>
      </c>
      <c r="F41" s="19" t="s">
        <v>1103</v>
      </c>
      <c r="G41" s="10">
        <v>8</v>
      </c>
      <c r="H41" s="10">
        <v>1</v>
      </c>
      <c r="I41" s="10"/>
    </row>
    <row r="42" spans="1:9" ht="63" x14ac:dyDescent="0.25">
      <c r="A42" s="109"/>
      <c r="B42" s="34">
        <v>7</v>
      </c>
      <c r="C42" s="101" t="s">
        <v>264</v>
      </c>
      <c r="D42" s="40" t="s">
        <v>1334</v>
      </c>
      <c r="E42" s="16" t="s">
        <v>1102</v>
      </c>
      <c r="F42" s="19" t="s">
        <v>1138</v>
      </c>
      <c r="G42" s="10">
        <v>8</v>
      </c>
      <c r="H42" s="10">
        <v>1</v>
      </c>
      <c r="I42" s="10"/>
    </row>
    <row r="43" spans="1:9" ht="63" x14ac:dyDescent="0.25">
      <c r="A43" s="109"/>
      <c r="B43" s="34">
        <v>8</v>
      </c>
      <c r="C43" s="101" t="s">
        <v>286</v>
      </c>
      <c r="D43" s="40" t="s">
        <v>1310</v>
      </c>
      <c r="E43" s="16" t="s">
        <v>1102</v>
      </c>
      <c r="F43" s="19" t="s">
        <v>1140</v>
      </c>
      <c r="G43" s="10">
        <v>3.5179999999999998</v>
      </c>
      <c r="H43" s="10">
        <v>3.3730000000000002</v>
      </c>
      <c r="I43" s="10"/>
    </row>
    <row r="44" spans="1:9" ht="63" x14ac:dyDescent="0.25">
      <c r="A44" s="109"/>
      <c r="B44" s="34">
        <v>9</v>
      </c>
      <c r="C44" s="101" t="s">
        <v>301</v>
      </c>
      <c r="D44" s="40" t="s">
        <v>1310</v>
      </c>
      <c r="E44" s="16" t="s">
        <v>1102</v>
      </c>
      <c r="F44" s="19" t="s">
        <v>1142</v>
      </c>
      <c r="G44" s="10">
        <v>9</v>
      </c>
      <c r="H44" s="10">
        <v>4</v>
      </c>
      <c r="I44" s="10"/>
    </row>
    <row r="45" spans="1:9" ht="59.25" customHeight="1" x14ac:dyDescent="0.25">
      <c r="A45" s="104"/>
      <c r="B45" s="34">
        <v>10</v>
      </c>
      <c r="C45" s="101" t="s">
        <v>1354</v>
      </c>
      <c r="D45" s="40" t="s">
        <v>1310</v>
      </c>
      <c r="E45" s="16" t="s">
        <v>1102</v>
      </c>
      <c r="F45" s="19" t="s">
        <v>1144</v>
      </c>
      <c r="G45" s="10">
        <v>3.5179999999999998</v>
      </c>
      <c r="H45" s="10">
        <v>3.3730000000000002</v>
      </c>
      <c r="I45" s="10"/>
    </row>
    <row r="46" spans="1:9" ht="63" x14ac:dyDescent="0.25">
      <c r="A46" s="109"/>
      <c r="B46" s="34">
        <v>11</v>
      </c>
      <c r="C46" s="101" t="s">
        <v>482</v>
      </c>
      <c r="D46" s="40" t="s">
        <v>1310</v>
      </c>
      <c r="E46" s="16" t="s">
        <v>1102</v>
      </c>
      <c r="F46" s="19" t="s">
        <v>1103</v>
      </c>
      <c r="G46" s="10">
        <v>3.5179999999999998</v>
      </c>
      <c r="H46" s="10">
        <v>3.3730000000000002</v>
      </c>
      <c r="I46" s="10"/>
    </row>
    <row r="47" spans="1:9" ht="63" x14ac:dyDescent="0.25">
      <c r="A47" s="109"/>
      <c r="B47" s="34">
        <v>12</v>
      </c>
      <c r="C47" s="101" t="s">
        <v>490</v>
      </c>
      <c r="D47" s="40" t="s">
        <v>1310</v>
      </c>
      <c r="E47" s="16" t="s">
        <v>1102</v>
      </c>
      <c r="F47" s="19" t="s">
        <v>1103</v>
      </c>
      <c r="G47" s="10">
        <v>20</v>
      </c>
      <c r="H47" s="10">
        <v>8</v>
      </c>
      <c r="I47" s="10"/>
    </row>
    <row r="48" spans="1:9" ht="63" x14ac:dyDescent="0.25">
      <c r="A48" s="109"/>
      <c r="B48" s="34">
        <v>13</v>
      </c>
      <c r="C48" s="101" t="s">
        <v>539</v>
      </c>
      <c r="D48" s="40" t="s">
        <v>1310</v>
      </c>
      <c r="E48" s="16" t="s">
        <v>1102</v>
      </c>
      <c r="F48" s="19" t="s">
        <v>1103</v>
      </c>
      <c r="G48" s="10">
        <v>1</v>
      </c>
      <c r="H48" s="10"/>
      <c r="I48" s="10"/>
    </row>
    <row r="49" spans="1:9" ht="63" x14ac:dyDescent="0.25">
      <c r="A49" s="109"/>
      <c r="B49" s="34">
        <v>14</v>
      </c>
      <c r="C49" s="101" t="s">
        <v>421</v>
      </c>
      <c r="D49" s="40" t="s">
        <v>1310</v>
      </c>
      <c r="E49" s="16" t="s">
        <v>1102</v>
      </c>
      <c r="F49" s="19" t="s">
        <v>1144</v>
      </c>
      <c r="G49" s="10">
        <v>20</v>
      </c>
      <c r="H49" s="10">
        <v>8</v>
      </c>
      <c r="I49" s="10"/>
    </row>
    <row r="50" spans="1:9" ht="63" x14ac:dyDescent="0.25">
      <c r="A50" s="109"/>
      <c r="B50" s="34">
        <v>15</v>
      </c>
      <c r="C50" s="101" t="s">
        <v>544</v>
      </c>
      <c r="D50" s="40" t="s">
        <v>1310</v>
      </c>
      <c r="E50" s="16" t="s">
        <v>1102</v>
      </c>
      <c r="F50" s="19" t="s">
        <v>1147</v>
      </c>
      <c r="G50" s="10">
        <v>3.5179999999999998</v>
      </c>
      <c r="H50" s="10">
        <v>3.3730000000000002</v>
      </c>
      <c r="I50" s="10"/>
    </row>
    <row r="51" spans="1:9" ht="63" x14ac:dyDescent="0.25">
      <c r="A51" s="109"/>
      <c r="B51" s="34">
        <v>16</v>
      </c>
      <c r="C51" s="101" t="s">
        <v>551</v>
      </c>
      <c r="D51" s="40" t="s">
        <v>1310</v>
      </c>
      <c r="E51" s="16" t="s">
        <v>1102</v>
      </c>
      <c r="F51" s="19" t="s">
        <v>1147</v>
      </c>
      <c r="G51" s="10">
        <v>3.5179999999999998</v>
      </c>
      <c r="H51" s="10">
        <v>3.3730000000000002</v>
      </c>
      <c r="I51" s="10"/>
    </row>
    <row r="52" spans="1:9" ht="63" x14ac:dyDescent="0.25">
      <c r="A52" s="109"/>
      <c r="B52" s="34">
        <v>17</v>
      </c>
      <c r="C52" s="101" t="s">
        <v>552</v>
      </c>
      <c r="D52" s="40" t="s">
        <v>1334</v>
      </c>
      <c r="E52" s="16" t="s">
        <v>1102</v>
      </c>
      <c r="F52" s="19" t="s">
        <v>1147</v>
      </c>
      <c r="G52" s="10">
        <v>3.5179999999999998</v>
      </c>
      <c r="H52" s="10">
        <v>3.3730000000000002</v>
      </c>
      <c r="I52" s="10"/>
    </row>
    <row r="53" spans="1:9" ht="63" x14ac:dyDescent="0.25">
      <c r="A53" s="109"/>
      <c r="B53" s="34">
        <v>18</v>
      </c>
      <c r="C53" s="101" t="s">
        <v>553</v>
      </c>
      <c r="D53" s="40" t="s">
        <v>1310</v>
      </c>
      <c r="E53" s="16" t="s">
        <v>1102</v>
      </c>
      <c r="F53" s="19" t="s">
        <v>1147</v>
      </c>
      <c r="G53" s="10">
        <v>3.5179999999999998</v>
      </c>
      <c r="H53" s="10">
        <v>3.3730000000000002</v>
      </c>
      <c r="I53" s="10"/>
    </row>
    <row r="54" spans="1:9" ht="63" x14ac:dyDescent="0.25">
      <c r="A54" s="109"/>
      <c r="B54" s="34">
        <v>19</v>
      </c>
      <c r="C54" s="101" t="s">
        <v>554</v>
      </c>
      <c r="D54" s="40" t="s">
        <v>1310</v>
      </c>
      <c r="E54" s="16" t="s">
        <v>1102</v>
      </c>
      <c r="F54" s="19" t="s">
        <v>1147</v>
      </c>
      <c r="G54" s="10">
        <v>3.5179999999999998</v>
      </c>
      <c r="H54" s="10">
        <v>3.3730000000000002</v>
      </c>
      <c r="I54" s="10"/>
    </row>
    <row r="55" spans="1:9" ht="63" x14ac:dyDescent="0.25">
      <c r="A55" s="109"/>
      <c r="B55" s="34">
        <v>20</v>
      </c>
      <c r="C55" s="101" t="s">
        <v>1288</v>
      </c>
      <c r="D55" s="40" t="s">
        <v>1312</v>
      </c>
      <c r="E55" s="16" t="s">
        <v>1102</v>
      </c>
      <c r="F55" s="10" t="s">
        <v>1106</v>
      </c>
      <c r="G55" s="102">
        <v>5</v>
      </c>
      <c r="H55" s="102"/>
      <c r="I55" s="1"/>
    </row>
    <row r="56" spans="1:9" ht="63" x14ac:dyDescent="0.25">
      <c r="A56" s="109"/>
      <c r="B56" s="34">
        <v>21</v>
      </c>
      <c r="C56" s="101" t="s">
        <v>1287</v>
      </c>
      <c r="D56" s="40" t="s">
        <v>1311</v>
      </c>
      <c r="E56" s="16" t="s">
        <v>1102</v>
      </c>
      <c r="F56" s="10" t="s">
        <v>1106</v>
      </c>
      <c r="G56" s="102">
        <v>5</v>
      </c>
      <c r="H56" s="102">
        <v>3</v>
      </c>
      <c r="I56" s="1"/>
    </row>
    <row r="57" spans="1:9" ht="125.25" customHeight="1" x14ac:dyDescent="0.25">
      <c r="A57" s="109"/>
      <c r="B57" s="34">
        <v>22</v>
      </c>
      <c r="C57" s="101" t="s">
        <v>501</v>
      </c>
      <c r="D57" s="40" t="s">
        <v>1311</v>
      </c>
      <c r="E57" s="16" t="s">
        <v>1102</v>
      </c>
      <c r="F57" s="10" t="s">
        <v>1106</v>
      </c>
      <c r="G57" s="102">
        <v>5</v>
      </c>
      <c r="H57" s="102">
        <v>3</v>
      </c>
      <c r="I57" s="1"/>
    </row>
    <row r="58" spans="1:9" ht="15.75" x14ac:dyDescent="0.25">
      <c r="A58" s="109"/>
      <c r="B58" s="34"/>
      <c r="C58" s="101"/>
      <c r="D58" s="40"/>
      <c r="E58" s="16"/>
      <c r="F58" s="10"/>
      <c r="G58" s="102"/>
      <c r="H58" s="102"/>
      <c r="I58" s="1"/>
    </row>
    <row r="59" spans="1:9" ht="15.75" x14ac:dyDescent="0.25">
      <c r="A59" s="109"/>
      <c r="B59" s="34"/>
      <c r="C59" s="101"/>
      <c r="D59" s="40"/>
      <c r="E59" s="16"/>
      <c r="F59" s="10"/>
      <c r="G59" s="102"/>
      <c r="H59" s="102"/>
      <c r="I59" s="1"/>
    </row>
    <row r="60" spans="1:9" ht="61.5" customHeight="1" x14ac:dyDescent="0.25">
      <c r="A60" s="100" t="s">
        <v>1315</v>
      </c>
      <c r="B60" s="34">
        <v>1</v>
      </c>
      <c r="C60" s="101" t="s">
        <v>8</v>
      </c>
      <c r="D60" s="40" t="s">
        <v>1310</v>
      </c>
      <c r="E60" s="16" t="s">
        <v>1102</v>
      </c>
      <c r="F60" s="19" t="s">
        <v>1103</v>
      </c>
      <c r="G60" s="10">
        <v>1</v>
      </c>
      <c r="H60" s="10"/>
      <c r="I60" s="1"/>
    </row>
    <row r="61" spans="1:9" ht="63" x14ac:dyDescent="0.25">
      <c r="A61" s="109"/>
      <c r="B61" s="34">
        <v>2</v>
      </c>
      <c r="C61" s="101" t="s">
        <v>36</v>
      </c>
      <c r="D61" s="40" t="s">
        <v>1310</v>
      </c>
      <c r="E61" s="16" t="s">
        <v>1102</v>
      </c>
      <c r="F61" s="19" t="s">
        <v>1103</v>
      </c>
      <c r="G61" s="10">
        <v>12</v>
      </c>
      <c r="H61" s="10">
        <v>3</v>
      </c>
      <c r="I61" s="1"/>
    </row>
    <row r="62" spans="1:9" ht="75" x14ac:dyDescent="0.25">
      <c r="A62" s="109"/>
      <c r="B62" s="34">
        <v>3</v>
      </c>
      <c r="C62" s="101" t="s">
        <v>59</v>
      </c>
      <c r="D62" s="40" t="s">
        <v>1310</v>
      </c>
      <c r="E62" s="16" t="s">
        <v>1102</v>
      </c>
      <c r="F62" s="19" t="s">
        <v>1103</v>
      </c>
      <c r="G62" s="10">
        <v>13</v>
      </c>
      <c r="H62" s="10">
        <v>3</v>
      </c>
      <c r="I62" s="1"/>
    </row>
    <row r="63" spans="1:9" ht="63" x14ac:dyDescent="0.25">
      <c r="A63" s="109"/>
      <c r="B63" s="34">
        <v>4</v>
      </c>
      <c r="C63" s="101" t="s">
        <v>82</v>
      </c>
      <c r="D63" s="40" t="s">
        <v>1310</v>
      </c>
      <c r="E63" s="16" t="s">
        <v>1102</v>
      </c>
      <c r="F63" s="19" t="s">
        <v>1103</v>
      </c>
      <c r="G63" s="10">
        <v>3.5179999999999998</v>
      </c>
      <c r="H63" s="10">
        <v>3.3730000000000002</v>
      </c>
      <c r="I63" s="1"/>
    </row>
    <row r="64" spans="1:9" ht="75" x14ac:dyDescent="0.25">
      <c r="A64" s="109"/>
      <c r="B64" s="34">
        <v>5</v>
      </c>
      <c r="C64" s="101" t="s">
        <v>475</v>
      </c>
      <c r="D64" s="40" t="s">
        <v>1310</v>
      </c>
      <c r="E64" s="16" t="s">
        <v>1102</v>
      </c>
      <c r="F64" s="19" t="s">
        <v>1103</v>
      </c>
      <c r="G64" s="10">
        <v>20</v>
      </c>
      <c r="H64" s="10">
        <v>9</v>
      </c>
      <c r="I64" s="1"/>
    </row>
    <row r="65" spans="1:9" ht="63" x14ac:dyDescent="0.25">
      <c r="A65" s="109"/>
      <c r="B65" s="34">
        <v>6</v>
      </c>
      <c r="C65" s="101" t="s">
        <v>248</v>
      </c>
      <c r="D65" s="40" t="s">
        <v>1334</v>
      </c>
      <c r="E65" s="16" t="s">
        <v>1102</v>
      </c>
      <c r="F65" s="19" t="s">
        <v>1103</v>
      </c>
      <c r="G65" s="10">
        <v>8</v>
      </c>
      <c r="H65" s="10">
        <v>1</v>
      </c>
      <c r="I65" s="1"/>
    </row>
    <row r="66" spans="1:9" ht="63" x14ac:dyDescent="0.25">
      <c r="A66" s="109"/>
      <c r="B66" s="34">
        <v>7</v>
      </c>
      <c r="C66" s="101" t="s">
        <v>264</v>
      </c>
      <c r="D66" s="40" t="s">
        <v>1334</v>
      </c>
      <c r="E66" s="16" t="s">
        <v>1102</v>
      </c>
      <c r="F66" s="19" t="s">
        <v>1138</v>
      </c>
      <c r="G66" s="10">
        <v>8</v>
      </c>
      <c r="H66" s="10">
        <v>1</v>
      </c>
      <c r="I66" s="1"/>
    </row>
    <row r="67" spans="1:9" ht="63" x14ac:dyDescent="0.25">
      <c r="A67" s="109"/>
      <c r="B67" s="34">
        <v>8</v>
      </c>
      <c r="C67" s="101" t="s">
        <v>286</v>
      </c>
      <c r="D67" s="40" t="s">
        <v>1310</v>
      </c>
      <c r="E67" s="16" t="s">
        <v>1102</v>
      </c>
      <c r="F67" s="19" t="s">
        <v>1140</v>
      </c>
      <c r="G67" s="10">
        <v>3.5179999999999998</v>
      </c>
      <c r="H67" s="10">
        <v>3.3730000000000002</v>
      </c>
      <c r="I67" s="1"/>
    </row>
    <row r="68" spans="1:9" ht="63" x14ac:dyDescent="0.25">
      <c r="A68" s="109"/>
      <c r="B68" s="34">
        <v>9</v>
      </c>
      <c r="C68" s="101" t="s">
        <v>301</v>
      </c>
      <c r="D68" s="40" t="s">
        <v>1310</v>
      </c>
      <c r="E68" s="16" t="s">
        <v>1102</v>
      </c>
      <c r="F68" s="19" t="s">
        <v>1142</v>
      </c>
      <c r="G68" s="10">
        <v>9</v>
      </c>
      <c r="H68" s="10">
        <v>4</v>
      </c>
      <c r="I68" s="1"/>
    </row>
    <row r="69" spans="1:9" ht="59.25" customHeight="1" x14ac:dyDescent="0.25">
      <c r="A69" s="104"/>
      <c r="B69" s="34">
        <v>10</v>
      </c>
      <c r="C69" s="101" t="s">
        <v>1354</v>
      </c>
      <c r="D69" s="40" t="s">
        <v>1310</v>
      </c>
      <c r="E69" s="16" t="s">
        <v>1102</v>
      </c>
      <c r="F69" s="19" t="s">
        <v>1144</v>
      </c>
      <c r="G69" s="10">
        <v>3.5179999999999998</v>
      </c>
      <c r="H69" s="10">
        <v>3.3730000000000002</v>
      </c>
      <c r="I69" s="10"/>
    </row>
    <row r="70" spans="1:9" ht="63" x14ac:dyDescent="0.25">
      <c r="A70" s="109"/>
      <c r="B70" s="34">
        <v>11</v>
      </c>
      <c r="C70" s="101" t="s">
        <v>482</v>
      </c>
      <c r="D70" s="40" t="s">
        <v>1310</v>
      </c>
      <c r="E70" s="16" t="s">
        <v>1102</v>
      </c>
      <c r="F70" s="19" t="s">
        <v>1103</v>
      </c>
      <c r="G70" s="10">
        <v>3.5179999999999998</v>
      </c>
      <c r="H70" s="10">
        <v>3.3730000000000002</v>
      </c>
      <c r="I70" s="1"/>
    </row>
    <row r="71" spans="1:9" ht="63" x14ac:dyDescent="0.25">
      <c r="A71" s="109"/>
      <c r="B71" s="34">
        <v>12</v>
      </c>
      <c r="C71" s="101" t="s">
        <v>490</v>
      </c>
      <c r="D71" s="40" t="s">
        <v>1310</v>
      </c>
      <c r="E71" s="16" t="s">
        <v>1102</v>
      </c>
      <c r="F71" s="19" t="s">
        <v>1103</v>
      </c>
      <c r="G71" s="10">
        <v>20</v>
      </c>
      <c r="H71" s="10">
        <v>8</v>
      </c>
      <c r="I71" s="1"/>
    </row>
    <row r="72" spans="1:9" ht="63" x14ac:dyDescent="0.25">
      <c r="A72" s="109"/>
      <c r="B72" s="34">
        <v>13</v>
      </c>
      <c r="C72" s="101" t="s">
        <v>539</v>
      </c>
      <c r="D72" s="40" t="s">
        <v>1310</v>
      </c>
      <c r="E72" s="16" t="s">
        <v>1102</v>
      </c>
      <c r="F72" s="19" t="s">
        <v>1103</v>
      </c>
      <c r="G72" s="10">
        <v>1</v>
      </c>
      <c r="H72" s="10"/>
      <c r="I72" s="1"/>
    </row>
    <row r="73" spans="1:9" ht="63" x14ac:dyDescent="0.25">
      <c r="A73" s="109"/>
      <c r="B73" s="34">
        <v>14</v>
      </c>
      <c r="C73" s="101" t="s">
        <v>421</v>
      </c>
      <c r="D73" s="40" t="s">
        <v>1310</v>
      </c>
      <c r="E73" s="16" t="s">
        <v>1102</v>
      </c>
      <c r="F73" s="19" t="s">
        <v>1144</v>
      </c>
      <c r="G73" s="10">
        <v>20</v>
      </c>
      <c r="H73" s="10">
        <v>8</v>
      </c>
      <c r="I73" s="1"/>
    </row>
    <row r="74" spans="1:9" ht="63" x14ac:dyDescent="0.25">
      <c r="A74" s="109"/>
      <c r="B74" s="34">
        <v>15</v>
      </c>
      <c r="C74" s="101" t="s">
        <v>544</v>
      </c>
      <c r="D74" s="40" t="s">
        <v>1310</v>
      </c>
      <c r="E74" s="16" t="s">
        <v>1102</v>
      </c>
      <c r="F74" s="19" t="s">
        <v>1147</v>
      </c>
      <c r="G74" s="10">
        <v>3.5179999999999998</v>
      </c>
      <c r="H74" s="10">
        <v>3.3730000000000002</v>
      </c>
      <c r="I74" s="1"/>
    </row>
    <row r="75" spans="1:9" ht="63" x14ac:dyDescent="0.25">
      <c r="A75" s="109"/>
      <c r="B75" s="34">
        <v>16</v>
      </c>
      <c r="C75" s="101" t="s">
        <v>551</v>
      </c>
      <c r="D75" s="40" t="s">
        <v>1310</v>
      </c>
      <c r="E75" s="16" t="s">
        <v>1102</v>
      </c>
      <c r="F75" s="19" t="s">
        <v>1147</v>
      </c>
      <c r="G75" s="10">
        <v>3.5179999999999998</v>
      </c>
      <c r="H75" s="10">
        <v>3.3730000000000002</v>
      </c>
      <c r="I75" s="1"/>
    </row>
    <row r="76" spans="1:9" ht="63" x14ac:dyDescent="0.25">
      <c r="A76" s="109"/>
      <c r="B76" s="34">
        <v>17</v>
      </c>
      <c r="C76" s="101" t="s">
        <v>552</v>
      </c>
      <c r="D76" s="40" t="s">
        <v>1334</v>
      </c>
      <c r="E76" s="16" t="s">
        <v>1102</v>
      </c>
      <c r="F76" s="19" t="s">
        <v>1147</v>
      </c>
      <c r="G76" s="10">
        <v>3.5179999999999998</v>
      </c>
      <c r="H76" s="10">
        <v>3.3730000000000002</v>
      </c>
      <c r="I76" s="1"/>
    </row>
    <row r="77" spans="1:9" ht="63" x14ac:dyDescent="0.25">
      <c r="A77" s="109"/>
      <c r="B77" s="34">
        <v>18</v>
      </c>
      <c r="C77" s="101" t="s">
        <v>553</v>
      </c>
      <c r="D77" s="40" t="s">
        <v>1310</v>
      </c>
      <c r="E77" s="16" t="s">
        <v>1102</v>
      </c>
      <c r="F77" s="19" t="s">
        <v>1147</v>
      </c>
      <c r="G77" s="10">
        <v>3.5179999999999998</v>
      </c>
      <c r="H77" s="10">
        <v>3.3730000000000002</v>
      </c>
      <c r="I77" s="1"/>
    </row>
    <row r="78" spans="1:9" ht="63" x14ac:dyDescent="0.25">
      <c r="A78" s="109"/>
      <c r="B78" s="34">
        <v>19</v>
      </c>
      <c r="C78" s="101" t="s">
        <v>554</v>
      </c>
      <c r="D78" s="40" t="s">
        <v>1310</v>
      </c>
      <c r="E78" s="16" t="s">
        <v>1102</v>
      </c>
      <c r="F78" s="19" t="s">
        <v>1147</v>
      </c>
      <c r="G78" s="10">
        <v>3.5179999999999998</v>
      </c>
      <c r="H78" s="10">
        <v>3.3730000000000002</v>
      </c>
      <c r="I78" s="1"/>
    </row>
    <row r="79" spans="1:9" ht="105" x14ac:dyDescent="0.25">
      <c r="A79" s="109"/>
      <c r="B79" s="34">
        <v>20</v>
      </c>
      <c r="C79" s="105" t="s">
        <v>574</v>
      </c>
      <c r="D79" s="40" t="s">
        <v>1316</v>
      </c>
      <c r="E79" s="16" t="s">
        <v>1102</v>
      </c>
      <c r="F79" s="19" t="s">
        <v>1106</v>
      </c>
      <c r="G79" s="34">
        <v>40</v>
      </c>
      <c r="H79" s="34">
        <v>40</v>
      </c>
      <c r="I79" s="40"/>
    </row>
    <row r="80" spans="1:9" ht="61.5" customHeight="1" x14ac:dyDescent="0.25">
      <c r="A80" s="109"/>
      <c r="B80" s="34">
        <v>21</v>
      </c>
      <c r="C80" s="105" t="s">
        <v>1234</v>
      </c>
      <c r="D80" s="40" t="s">
        <v>1316</v>
      </c>
      <c r="E80" s="16" t="s">
        <v>1102</v>
      </c>
      <c r="F80" s="19" t="s">
        <v>1106</v>
      </c>
      <c r="G80" s="34">
        <v>40</v>
      </c>
      <c r="H80" s="34">
        <v>40</v>
      </c>
      <c r="I80" s="40"/>
    </row>
    <row r="81" spans="1:9" ht="80.25" customHeight="1" x14ac:dyDescent="0.25">
      <c r="A81" s="109"/>
      <c r="B81" s="34">
        <v>22</v>
      </c>
      <c r="C81" s="105" t="s">
        <v>1257</v>
      </c>
      <c r="D81" s="40" t="s">
        <v>1316</v>
      </c>
      <c r="E81" s="16" t="s">
        <v>1102</v>
      </c>
      <c r="F81" s="19" t="s">
        <v>1106</v>
      </c>
      <c r="G81" s="34">
        <v>40</v>
      </c>
      <c r="H81" s="34">
        <v>40</v>
      </c>
      <c r="I81" s="40"/>
    </row>
    <row r="82" spans="1:9" ht="63" x14ac:dyDescent="0.25">
      <c r="A82" s="109"/>
      <c r="B82" s="34">
        <v>23</v>
      </c>
      <c r="C82" s="105" t="s">
        <v>686</v>
      </c>
      <c r="D82" s="40" t="s">
        <v>1335</v>
      </c>
      <c r="E82" s="16" t="s">
        <v>1102</v>
      </c>
      <c r="F82" s="19" t="s">
        <v>1138</v>
      </c>
      <c r="G82" s="34">
        <v>2</v>
      </c>
      <c r="H82" s="34">
        <v>3</v>
      </c>
      <c r="I82" s="40"/>
    </row>
    <row r="83" spans="1:9" ht="84.75" customHeight="1" x14ac:dyDescent="0.25">
      <c r="A83" s="109"/>
      <c r="B83" s="34">
        <v>24</v>
      </c>
      <c r="C83" s="105" t="s">
        <v>705</v>
      </c>
      <c r="D83" s="40" t="s">
        <v>1336</v>
      </c>
      <c r="E83" s="16" t="s">
        <v>1102</v>
      </c>
      <c r="F83" s="19" t="s">
        <v>1138</v>
      </c>
      <c r="G83" s="34">
        <v>215</v>
      </c>
      <c r="H83" s="34">
        <v>218</v>
      </c>
      <c r="I83" s="40"/>
    </row>
    <row r="84" spans="1:9" ht="63" x14ac:dyDescent="0.25">
      <c r="A84" s="109"/>
      <c r="B84" s="34">
        <v>25</v>
      </c>
      <c r="C84" s="105" t="s">
        <v>709</v>
      </c>
      <c r="D84" s="40" t="s">
        <v>1337</v>
      </c>
      <c r="E84" s="16" t="s">
        <v>1102</v>
      </c>
      <c r="F84" s="19" t="s">
        <v>1106</v>
      </c>
      <c r="G84" s="34"/>
      <c r="H84" s="34">
        <v>15</v>
      </c>
      <c r="I84" s="40"/>
    </row>
    <row r="85" spans="1:9" ht="90" x14ac:dyDescent="0.25">
      <c r="A85" s="109"/>
      <c r="B85" s="34">
        <v>26</v>
      </c>
      <c r="C85" s="105" t="s">
        <v>786</v>
      </c>
      <c r="D85" s="40" t="s">
        <v>1338</v>
      </c>
      <c r="E85" s="16" t="s">
        <v>1102</v>
      </c>
      <c r="F85" s="19" t="s">
        <v>1138</v>
      </c>
      <c r="G85" s="34"/>
      <c r="H85" s="34">
        <v>30</v>
      </c>
      <c r="I85" s="40"/>
    </row>
    <row r="86" spans="1:9" ht="90" x14ac:dyDescent="0.25">
      <c r="A86" s="109"/>
      <c r="B86" s="34">
        <v>27</v>
      </c>
      <c r="C86" s="105" t="s">
        <v>717</v>
      </c>
      <c r="D86" s="40" t="s">
        <v>1339</v>
      </c>
      <c r="E86" s="16" t="s">
        <v>1102</v>
      </c>
      <c r="F86" s="19" t="s">
        <v>1106</v>
      </c>
      <c r="G86" s="34"/>
      <c r="H86" s="34">
        <v>6</v>
      </c>
      <c r="I86" s="40"/>
    </row>
    <row r="87" spans="1:9" ht="75" x14ac:dyDescent="0.25">
      <c r="A87" s="109"/>
      <c r="B87" s="34">
        <v>28</v>
      </c>
      <c r="C87" s="105" t="s">
        <v>719</v>
      </c>
      <c r="D87" s="40" t="s">
        <v>1336</v>
      </c>
      <c r="E87" s="16" t="s">
        <v>1102</v>
      </c>
      <c r="F87" s="19" t="s">
        <v>1106</v>
      </c>
      <c r="G87" s="34"/>
      <c r="H87" s="34">
        <v>71</v>
      </c>
      <c r="I87" s="40"/>
    </row>
    <row r="88" spans="1:9" ht="63" x14ac:dyDescent="0.25">
      <c r="A88" s="109"/>
      <c r="B88" s="34">
        <v>29</v>
      </c>
      <c r="C88" s="105" t="s">
        <v>731</v>
      </c>
      <c r="D88" s="40" t="s">
        <v>1312</v>
      </c>
      <c r="E88" s="16" t="s">
        <v>1102</v>
      </c>
      <c r="F88" s="19" t="s">
        <v>1106</v>
      </c>
      <c r="G88" s="34">
        <v>3.5179999999999998</v>
      </c>
      <c r="H88" s="34">
        <v>3.3730000000000002</v>
      </c>
      <c r="I88" s="40"/>
    </row>
    <row r="89" spans="1:9" ht="72" customHeight="1" x14ac:dyDescent="0.25">
      <c r="A89" s="109"/>
      <c r="B89" s="34">
        <v>30</v>
      </c>
      <c r="C89" s="105" t="e">
        <f>'Daftar Prioritas'!D58</f>
        <v>#REF!</v>
      </c>
      <c r="D89" s="40" t="s">
        <v>1312</v>
      </c>
      <c r="E89" s="16" t="s">
        <v>1102</v>
      </c>
      <c r="F89" s="19" t="s">
        <v>1106</v>
      </c>
      <c r="G89" s="34">
        <v>3.5179999999999998</v>
      </c>
      <c r="H89" s="34">
        <v>3.3730000000000002</v>
      </c>
      <c r="I89" s="40"/>
    </row>
    <row r="90" spans="1:9" ht="75" x14ac:dyDescent="0.25">
      <c r="A90" s="109"/>
      <c r="B90" s="34">
        <v>31</v>
      </c>
      <c r="C90" s="105" t="s">
        <v>740</v>
      </c>
      <c r="D90" s="40" t="s">
        <v>1312</v>
      </c>
      <c r="E90" s="16" t="s">
        <v>1102</v>
      </c>
      <c r="F90" s="19" t="s">
        <v>1106</v>
      </c>
      <c r="G90" s="34">
        <v>3.5179999999999998</v>
      </c>
      <c r="H90" s="34">
        <v>3.3730000000000002</v>
      </c>
      <c r="I90" s="40"/>
    </row>
    <row r="91" spans="1:9" ht="75" x14ac:dyDescent="0.25">
      <c r="A91" s="109"/>
      <c r="B91" s="34">
        <v>32</v>
      </c>
      <c r="C91" s="105" t="s">
        <v>748</v>
      </c>
      <c r="D91" s="40" t="s">
        <v>1340</v>
      </c>
      <c r="E91" s="16" t="s">
        <v>1102</v>
      </c>
      <c r="F91" s="19" t="s">
        <v>1106</v>
      </c>
      <c r="G91" s="34">
        <v>82</v>
      </c>
      <c r="H91" s="34">
        <v>90</v>
      </c>
      <c r="I91" s="40"/>
    </row>
    <row r="92" spans="1:9" ht="63" x14ac:dyDescent="0.25">
      <c r="A92" s="109"/>
      <c r="B92" s="34">
        <v>33</v>
      </c>
      <c r="C92" s="105" t="s">
        <v>757</v>
      </c>
      <c r="D92" s="40" t="s">
        <v>1341</v>
      </c>
      <c r="E92" s="16" t="s">
        <v>1102</v>
      </c>
      <c r="F92" s="19" t="s">
        <v>1106</v>
      </c>
      <c r="G92" s="34"/>
      <c r="H92" s="34">
        <v>16</v>
      </c>
      <c r="I92" s="40"/>
    </row>
    <row r="93" spans="1:9" ht="63" x14ac:dyDescent="0.25">
      <c r="A93" s="109"/>
      <c r="B93" s="34">
        <v>34</v>
      </c>
      <c r="C93" s="105" t="s">
        <v>763</v>
      </c>
      <c r="D93" s="40" t="s">
        <v>1342</v>
      </c>
      <c r="E93" s="16" t="s">
        <v>1102</v>
      </c>
      <c r="F93" s="19" t="s">
        <v>1106</v>
      </c>
      <c r="G93" s="34">
        <v>3.5179999999999998</v>
      </c>
      <c r="H93" s="34">
        <v>3.3730000000000002</v>
      </c>
      <c r="I93" s="40"/>
    </row>
    <row r="94" spans="1:9" ht="63" x14ac:dyDescent="0.25">
      <c r="A94" s="109"/>
      <c r="B94" s="34">
        <v>35</v>
      </c>
      <c r="C94" s="105" t="s">
        <v>773</v>
      </c>
      <c r="D94" s="40" t="s">
        <v>1342</v>
      </c>
      <c r="E94" s="16" t="s">
        <v>1102</v>
      </c>
      <c r="F94" s="19" t="s">
        <v>1138</v>
      </c>
      <c r="G94" s="34"/>
      <c r="H94" s="34">
        <v>8</v>
      </c>
      <c r="I94" s="40"/>
    </row>
    <row r="95" spans="1:9" ht="81.75" customHeight="1" x14ac:dyDescent="0.25">
      <c r="A95" s="109"/>
      <c r="B95" s="34">
        <v>36</v>
      </c>
      <c r="C95" s="105" t="s">
        <v>779</v>
      </c>
      <c r="D95" s="40" t="s">
        <v>1343</v>
      </c>
      <c r="E95" s="16" t="s">
        <v>1102</v>
      </c>
      <c r="F95" s="19" t="s">
        <v>1106</v>
      </c>
      <c r="G95" s="34"/>
      <c r="H95" s="34">
        <v>30</v>
      </c>
      <c r="I95" s="40"/>
    </row>
    <row r="96" spans="1:9" ht="90" x14ac:dyDescent="0.25">
      <c r="A96" s="109"/>
      <c r="B96" s="34">
        <v>37</v>
      </c>
      <c r="C96" s="105" t="s">
        <v>783</v>
      </c>
      <c r="D96" s="40" t="s">
        <v>1344</v>
      </c>
      <c r="E96" s="16" t="s">
        <v>1102</v>
      </c>
      <c r="F96" s="19" t="s">
        <v>1106</v>
      </c>
      <c r="G96" s="34">
        <v>2</v>
      </c>
      <c r="H96" s="34">
        <v>3</v>
      </c>
      <c r="I96" s="40"/>
    </row>
    <row r="97" spans="1:9" ht="75" x14ac:dyDescent="0.25">
      <c r="A97" s="109"/>
      <c r="B97" s="34">
        <v>38</v>
      </c>
      <c r="C97" s="105" t="s">
        <v>785</v>
      </c>
      <c r="D97" s="40" t="s">
        <v>1344</v>
      </c>
      <c r="E97" s="16" t="s">
        <v>1102</v>
      </c>
      <c r="F97" s="19" t="s">
        <v>1138</v>
      </c>
      <c r="G97" s="34">
        <v>55</v>
      </c>
      <c r="H97" s="34">
        <v>50</v>
      </c>
      <c r="I97" s="40"/>
    </row>
    <row r="98" spans="1:9" ht="63" x14ac:dyDescent="0.25">
      <c r="A98" s="109"/>
      <c r="B98" s="34">
        <v>39</v>
      </c>
      <c r="C98" s="105" t="s">
        <v>1289</v>
      </c>
      <c r="D98" s="40" t="s">
        <v>1312</v>
      </c>
      <c r="E98" s="16" t="s">
        <v>1102</v>
      </c>
      <c r="F98" s="19" t="s">
        <v>1293</v>
      </c>
      <c r="G98" s="34">
        <v>3.5179999999999998</v>
      </c>
      <c r="H98" s="34">
        <v>3.3730000000000002</v>
      </c>
      <c r="I98" s="40"/>
    </row>
    <row r="99" spans="1:9" ht="63" x14ac:dyDescent="0.25">
      <c r="A99" s="109"/>
      <c r="B99" s="34">
        <v>40</v>
      </c>
      <c r="C99" s="105" t="s">
        <v>803</v>
      </c>
      <c r="D99" s="40" t="s">
        <v>1312</v>
      </c>
      <c r="E99" s="16" t="s">
        <v>1102</v>
      </c>
      <c r="F99" s="19" t="s">
        <v>1295</v>
      </c>
      <c r="G99" s="34">
        <v>3.5179999999999998</v>
      </c>
      <c r="H99" s="34">
        <v>3.3730000000000002</v>
      </c>
      <c r="I99" s="40"/>
    </row>
    <row r="100" spans="1:9" ht="63" x14ac:dyDescent="0.25">
      <c r="A100" s="109"/>
      <c r="B100" s="34">
        <v>41</v>
      </c>
      <c r="C100" s="105" t="s">
        <v>828</v>
      </c>
      <c r="D100" s="40" t="s">
        <v>1342</v>
      </c>
      <c r="E100" s="16" t="s">
        <v>1102</v>
      </c>
      <c r="F100" s="19" t="s">
        <v>1106</v>
      </c>
      <c r="G100" s="34">
        <v>3.5179999999999998</v>
      </c>
      <c r="H100" s="34">
        <v>3.3730000000000002</v>
      </c>
      <c r="I100" s="40"/>
    </row>
    <row r="101" spans="1:9" ht="63" x14ac:dyDescent="0.25">
      <c r="A101" s="109"/>
      <c r="B101" s="34">
        <v>42</v>
      </c>
      <c r="C101" s="105" t="s">
        <v>835</v>
      </c>
      <c r="D101" s="40" t="s">
        <v>1345</v>
      </c>
      <c r="E101" s="16" t="s">
        <v>1102</v>
      </c>
      <c r="F101" s="19" t="s">
        <v>1138</v>
      </c>
      <c r="G101" s="34"/>
      <c r="H101" s="34">
        <v>9</v>
      </c>
      <c r="I101" s="40"/>
    </row>
    <row r="102" spans="1:9" ht="63" x14ac:dyDescent="0.25">
      <c r="A102" s="109"/>
      <c r="B102" s="34">
        <v>43</v>
      </c>
      <c r="C102" s="105" t="s">
        <v>884</v>
      </c>
      <c r="D102" s="40" t="s">
        <v>1312</v>
      </c>
      <c r="E102" s="16" t="s">
        <v>1102</v>
      </c>
      <c r="F102" s="19" t="s">
        <v>1138</v>
      </c>
      <c r="G102" s="34">
        <v>3.5179999999999998</v>
      </c>
      <c r="H102" s="34">
        <v>3.3730000000000002</v>
      </c>
      <c r="I102" s="1"/>
    </row>
    <row r="103" spans="1:9" ht="90" x14ac:dyDescent="0.25">
      <c r="A103" s="109"/>
      <c r="B103" s="34">
        <v>44</v>
      </c>
      <c r="C103" s="105" t="s">
        <v>889</v>
      </c>
      <c r="D103" s="40" t="s">
        <v>1312</v>
      </c>
      <c r="E103" s="16" t="s">
        <v>1102</v>
      </c>
      <c r="F103" s="19" t="s">
        <v>1138</v>
      </c>
      <c r="G103" s="34">
        <v>3.5179999999999998</v>
      </c>
      <c r="H103" s="34">
        <v>3.3730000000000002</v>
      </c>
      <c r="I103" s="1"/>
    </row>
    <row r="104" spans="1:9" ht="63" x14ac:dyDescent="0.25">
      <c r="A104" s="109"/>
      <c r="B104" s="34">
        <v>45</v>
      </c>
      <c r="C104" s="105" t="s">
        <v>900</v>
      </c>
      <c r="D104" s="40" t="s">
        <v>1312</v>
      </c>
      <c r="E104" s="16" t="s">
        <v>1102</v>
      </c>
      <c r="F104" s="19" t="s">
        <v>1138</v>
      </c>
      <c r="G104" s="34">
        <v>3.5179999999999998</v>
      </c>
      <c r="H104" s="34">
        <v>3.3730000000000002</v>
      </c>
      <c r="I104" s="1"/>
    </row>
    <row r="105" spans="1:9" ht="75" x14ac:dyDescent="0.25">
      <c r="A105" s="109"/>
      <c r="B105" s="34">
        <v>46</v>
      </c>
      <c r="C105" s="105" t="s">
        <v>1258</v>
      </c>
      <c r="D105" s="40" t="s">
        <v>1312</v>
      </c>
      <c r="E105" s="16" t="s">
        <v>1102</v>
      </c>
      <c r="F105" s="19" t="s">
        <v>1147</v>
      </c>
      <c r="G105" s="34">
        <v>3.5179999999999998</v>
      </c>
      <c r="H105" s="34">
        <v>3.3730000000000002</v>
      </c>
      <c r="I105" s="1"/>
    </row>
    <row r="106" spans="1:9" ht="75" x14ac:dyDescent="0.25">
      <c r="A106" s="109"/>
      <c r="B106" s="34">
        <v>47</v>
      </c>
      <c r="C106" s="105" t="s">
        <v>1167</v>
      </c>
      <c r="D106" s="40" t="s">
        <v>1312</v>
      </c>
      <c r="E106" s="16" t="s">
        <v>1102</v>
      </c>
      <c r="F106" s="19" t="s">
        <v>1106</v>
      </c>
      <c r="G106" s="34">
        <v>3.5179999999999998</v>
      </c>
      <c r="H106" s="34">
        <v>3.3730000000000002</v>
      </c>
      <c r="I106" s="1"/>
    </row>
    <row r="107" spans="1:9" ht="63" x14ac:dyDescent="0.25">
      <c r="A107" s="109"/>
      <c r="B107" s="34">
        <v>48</v>
      </c>
      <c r="C107" s="105" t="s">
        <v>1064</v>
      </c>
      <c r="D107" s="40" t="s">
        <v>1312</v>
      </c>
      <c r="E107" s="16" t="s">
        <v>1102</v>
      </c>
      <c r="F107" s="19" t="s">
        <v>1106</v>
      </c>
      <c r="G107" s="34">
        <v>3.5179999999999998</v>
      </c>
      <c r="H107" s="34">
        <v>3.3730000000000002</v>
      </c>
      <c r="I107" s="1"/>
    </row>
    <row r="108" spans="1:9" ht="63" x14ac:dyDescent="0.25">
      <c r="A108" s="109"/>
      <c r="B108" s="34">
        <v>49</v>
      </c>
      <c r="C108" s="105" t="s">
        <v>838</v>
      </c>
      <c r="D108" s="40" t="s">
        <v>1312</v>
      </c>
      <c r="E108" s="16" t="s">
        <v>1102</v>
      </c>
      <c r="F108" s="19" t="s">
        <v>1195</v>
      </c>
      <c r="G108" s="34">
        <v>3.5179999999999998</v>
      </c>
      <c r="H108" s="34">
        <v>3.3730000000000002</v>
      </c>
      <c r="I108" s="1"/>
    </row>
    <row r="109" spans="1:9" ht="120" x14ac:dyDescent="0.25">
      <c r="A109" s="109"/>
      <c r="B109" s="34">
        <v>50</v>
      </c>
      <c r="C109" s="105" t="s">
        <v>913</v>
      </c>
      <c r="D109" s="40" t="s">
        <v>1312</v>
      </c>
      <c r="E109" s="16" t="s">
        <v>1102</v>
      </c>
      <c r="F109" s="19" t="s">
        <v>1106</v>
      </c>
      <c r="G109" s="34">
        <v>3.5179999999999998</v>
      </c>
      <c r="H109" s="34">
        <v>3.3730000000000002</v>
      </c>
      <c r="I109" s="1"/>
    </row>
    <row r="110" spans="1:9" ht="120" x14ac:dyDescent="0.25">
      <c r="A110" s="109"/>
      <c r="B110" s="34">
        <v>51</v>
      </c>
      <c r="C110" s="105" t="s">
        <v>920</v>
      </c>
      <c r="D110" s="40" t="s">
        <v>1312</v>
      </c>
      <c r="E110" s="16" t="s">
        <v>1102</v>
      </c>
      <c r="F110" s="19" t="s">
        <v>1106</v>
      </c>
      <c r="G110" s="34">
        <v>3.5179999999999998</v>
      </c>
      <c r="H110" s="34">
        <v>3.3730000000000002</v>
      </c>
      <c r="I110" s="1"/>
    </row>
    <row r="111" spans="1:9" ht="104.25" customHeight="1" x14ac:dyDescent="0.25">
      <c r="A111" s="109"/>
      <c r="B111" s="34">
        <v>52</v>
      </c>
      <c r="C111" s="105" t="s">
        <v>924</v>
      </c>
      <c r="D111" s="40" t="s">
        <v>1346</v>
      </c>
      <c r="E111" s="16" t="s">
        <v>1102</v>
      </c>
      <c r="F111" s="19" t="s">
        <v>1106</v>
      </c>
      <c r="G111" s="34">
        <v>35</v>
      </c>
      <c r="H111" s="34"/>
      <c r="I111" s="1"/>
    </row>
    <row r="112" spans="1:9" ht="105" x14ac:dyDescent="0.25">
      <c r="A112" s="109"/>
      <c r="B112" s="34">
        <v>53</v>
      </c>
      <c r="C112" s="105" t="s">
        <v>927</v>
      </c>
      <c r="D112" s="40" t="s">
        <v>1346</v>
      </c>
      <c r="E112" s="16" t="s">
        <v>1102</v>
      </c>
      <c r="F112" s="19" t="s">
        <v>1138</v>
      </c>
      <c r="G112" s="34">
        <v>35</v>
      </c>
      <c r="H112" s="34"/>
      <c r="I112" s="1"/>
    </row>
    <row r="113" spans="1:9" ht="63" x14ac:dyDescent="0.25">
      <c r="A113" s="109"/>
      <c r="B113" s="34">
        <v>54</v>
      </c>
      <c r="C113" s="105" t="s">
        <v>938</v>
      </c>
      <c r="D113" s="40" t="s">
        <v>1347</v>
      </c>
      <c r="E113" s="16" t="s">
        <v>1102</v>
      </c>
      <c r="F113" s="19" t="s">
        <v>1106</v>
      </c>
      <c r="G113" s="34"/>
      <c r="H113" s="34">
        <v>29</v>
      </c>
      <c r="I113" s="1"/>
    </row>
    <row r="114" spans="1:9" ht="75" x14ac:dyDescent="0.25">
      <c r="A114" s="109"/>
      <c r="B114" s="34">
        <v>55</v>
      </c>
      <c r="C114" s="105" t="s">
        <v>996</v>
      </c>
      <c r="D114" s="40" t="s">
        <v>1310</v>
      </c>
      <c r="E114" s="16" t="s">
        <v>1102</v>
      </c>
      <c r="F114" s="19" t="s">
        <v>1106</v>
      </c>
      <c r="G114" s="34">
        <v>20</v>
      </c>
      <c r="H114" s="34">
        <v>8</v>
      </c>
      <c r="I114" s="1"/>
    </row>
    <row r="115" spans="1:9" ht="63" x14ac:dyDescent="0.25">
      <c r="A115" s="109"/>
      <c r="B115" s="34">
        <v>56</v>
      </c>
      <c r="C115" s="105" t="s">
        <v>956</v>
      </c>
      <c r="D115" s="40" t="s">
        <v>1310</v>
      </c>
      <c r="E115" s="16" t="s">
        <v>1102</v>
      </c>
      <c r="F115" s="19" t="s">
        <v>1106</v>
      </c>
      <c r="G115" s="34">
        <v>20</v>
      </c>
      <c r="H115" s="34">
        <v>8</v>
      </c>
      <c r="I115" s="1"/>
    </row>
    <row r="116" spans="1:9" ht="63" x14ac:dyDescent="0.25">
      <c r="A116" s="109"/>
      <c r="B116" s="34">
        <v>57</v>
      </c>
      <c r="C116" s="105" t="s">
        <v>966</v>
      </c>
      <c r="D116" s="40" t="s">
        <v>1310</v>
      </c>
      <c r="E116" s="16" t="s">
        <v>1102</v>
      </c>
      <c r="F116" s="19" t="s">
        <v>1106</v>
      </c>
      <c r="G116" s="34">
        <v>20</v>
      </c>
      <c r="H116" s="34">
        <v>8</v>
      </c>
      <c r="I116" s="1"/>
    </row>
    <row r="117" spans="1:9" ht="63" x14ac:dyDescent="0.25">
      <c r="A117" s="109"/>
      <c r="B117" s="34">
        <v>58</v>
      </c>
      <c r="C117" s="105" t="s">
        <v>1121</v>
      </c>
      <c r="D117" s="40" t="s">
        <v>1310</v>
      </c>
      <c r="E117" s="16" t="s">
        <v>1102</v>
      </c>
      <c r="F117" s="19" t="s">
        <v>1106</v>
      </c>
      <c r="G117" s="34">
        <v>3.5179999999999998</v>
      </c>
      <c r="H117" s="34">
        <v>3.3730000000000002</v>
      </c>
      <c r="I117" s="1"/>
    </row>
    <row r="118" spans="1:9" ht="63" x14ac:dyDescent="0.25">
      <c r="A118" s="109"/>
      <c r="B118" s="34">
        <v>59</v>
      </c>
      <c r="C118" s="105" t="s">
        <v>970</v>
      </c>
      <c r="D118" s="40" t="s">
        <v>1312</v>
      </c>
      <c r="E118" s="16" t="s">
        <v>1102</v>
      </c>
      <c r="F118" s="19" t="s">
        <v>1106</v>
      </c>
      <c r="G118" s="34">
        <v>3.5179999999999998</v>
      </c>
      <c r="H118" s="34">
        <v>3.3730000000000002</v>
      </c>
      <c r="I118" s="1"/>
    </row>
    <row r="119" spans="1:9" ht="63" x14ac:dyDescent="0.25">
      <c r="A119" s="109"/>
      <c r="B119" s="34">
        <v>60</v>
      </c>
      <c r="C119" s="105" t="s">
        <v>978</v>
      </c>
      <c r="D119" s="40" t="s">
        <v>1312</v>
      </c>
      <c r="E119" s="16" t="s">
        <v>1102</v>
      </c>
      <c r="F119" s="19" t="s">
        <v>1106</v>
      </c>
      <c r="G119" s="34">
        <v>3.5179999999999998</v>
      </c>
      <c r="H119" s="34">
        <v>3.3730000000000002</v>
      </c>
      <c r="I119" s="1"/>
    </row>
    <row r="120" spans="1:9" ht="75" x14ac:dyDescent="0.25">
      <c r="A120" s="109"/>
      <c r="B120" s="34">
        <v>61</v>
      </c>
      <c r="C120" s="105" t="s">
        <v>988</v>
      </c>
      <c r="D120" s="40" t="s">
        <v>1312</v>
      </c>
      <c r="E120" s="16" t="s">
        <v>1102</v>
      </c>
      <c r="F120" s="19" t="s">
        <v>1106</v>
      </c>
      <c r="G120" s="34">
        <v>3.5179999999999998</v>
      </c>
      <c r="H120" s="34">
        <v>3.3730000000000002</v>
      </c>
      <c r="I120" s="1"/>
    </row>
    <row r="121" spans="1:9" ht="120" x14ac:dyDescent="0.25">
      <c r="A121" s="109"/>
      <c r="B121" s="34">
        <v>62</v>
      </c>
      <c r="C121" s="105" t="s">
        <v>994</v>
      </c>
      <c r="D121" s="40" t="s">
        <v>1312</v>
      </c>
      <c r="E121" s="16" t="s">
        <v>1102</v>
      </c>
      <c r="F121" s="19" t="s">
        <v>1106</v>
      </c>
      <c r="G121" s="34">
        <v>3.5179999999999998</v>
      </c>
      <c r="H121" s="34">
        <v>3.3730000000000002</v>
      </c>
      <c r="I121" s="1"/>
    </row>
    <row r="122" spans="1:9" ht="139.5" customHeight="1" x14ac:dyDescent="0.25">
      <c r="A122" s="109"/>
      <c r="B122" s="34">
        <v>63</v>
      </c>
      <c r="C122" s="105" t="e">
        <f>'BID III'!#REF!</f>
        <v>#REF!</v>
      </c>
      <c r="D122" s="40" t="s">
        <v>1312</v>
      </c>
      <c r="E122" s="16" t="s">
        <v>1102</v>
      </c>
      <c r="F122" s="19" t="s">
        <v>1106</v>
      </c>
      <c r="G122" s="34">
        <v>3.5179999999999998</v>
      </c>
      <c r="H122" s="34">
        <v>3.3730000000000002</v>
      </c>
      <c r="I122" s="1"/>
    </row>
    <row r="123" spans="1:9" ht="241.5" customHeight="1" x14ac:dyDescent="0.25">
      <c r="A123" s="109"/>
      <c r="B123" s="34">
        <v>64</v>
      </c>
      <c r="C123" s="105" t="s">
        <v>1124</v>
      </c>
      <c r="D123" s="40" t="s">
        <v>1312</v>
      </c>
      <c r="E123" s="16" t="s">
        <v>1102</v>
      </c>
      <c r="F123" s="19" t="s">
        <v>1106</v>
      </c>
      <c r="G123" s="34">
        <v>3.5179999999999998</v>
      </c>
      <c r="H123" s="34">
        <v>3.3730000000000002</v>
      </c>
      <c r="I123" s="1"/>
    </row>
    <row r="124" spans="1:9" ht="241.5" customHeight="1" x14ac:dyDescent="0.25">
      <c r="A124" s="109"/>
      <c r="B124" s="34">
        <v>65</v>
      </c>
      <c r="C124" s="105" t="e">
        <f>#REF!</f>
        <v>#REF!</v>
      </c>
      <c r="D124" s="40" t="s">
        <v>1312</v>
      </c>
      <c r="E124" s="16" t="s">
        <v>1102</v>
      </c>
      <c r="F124" s="19" t="s">
        <v>1106</v>
      </c>
      <c r="G124" s="34">
        <v>3.5179999999999998</v>
      </c>
      <c r="H124" s="34">
        <v>3.3730000000000002</v>
      </c>
      <c r="I124" s="1"/>
    </row>
    <row r="125" spans="1:9" ht="63" x14ac:dyDescent="0.25">
      <c r="A125" s="109"/>
      <c r="B125" s="34">
        <v>66</v>
      </c>
      <c r="C125" s="105" t="s">
        <v>987</v>
      </c>
      <c r="D125" s="40" t="s">
        <v>1312</v>
      </c>
      <c r="E125" s="16" t="s">
        <v>1102</v>
      </c>
      <c r="F125" s="19" t="s">
        <v>1106</v>
      </c>
      <c r="G125" s="34">
        <v>3.5179999999999998</v>
      </c>
      <c r="H125" s="34">
        <v>3.3730000000000002</v>
      </c>
      <c r="I125" s="1"/>
    </row>
    <row r="126" spans="1:9" ht="75" x14ac:dyDescent="0.25">
      <c r="A126" s="109"/>
      <c r="B126" s="34">
        <v>67</v>
      </c>
      <c r="C126" s="105" t="s">
        <v>998</v>
      </c>
      <c r="D126" s="40" t="s">
        <v>1348</v>
      </c>
      <c r="E126" s="16" t="s">
        <v>1102</v>
      </c>
      <c r="F126" s="19" t="s">
        <v>1106</v>
      </c>
      <c r="G126" s="34">
        <v>13</v>
      </c>
      <c r="H126" s="34">
        <v>4</v>
      </c>
      <c r="I126" s="1"/>
    </row>
    <row r="127" spans="1:9" ht="63" x14ac:dyDescent="0.25">
      <c r="A127" s="109"/>
      <c r="B127" s="34">
        <v>68</v>
      </c>
      <c r="C127" s="105" t="s">
        <v>1162</v>
      </c>
      <c r="D127" s="40" t="s">
        <v>1348</v>
      </c>
      <c r="E127" s="16" t="s">
        <v>1102</v>
      </c>
      <c r="F127" s="19" t="s">
        <v>1106</v>
      </c>
      <c r="G127" s="34">
        <v>13</v>
      </c>
      <c r="H127" s="34">
        <v>4</v>
      </c>
      <c r="I127" s="1"/>
    </row>
    <row r="128" spans="1:9" ht="75" x14ac:dyDescent="0.25">
      <c r="A128" s="109"/>
      <c r="B128" s="34">
        <v>69</v>
      </c>
      <c r="C128" s="105" t="s">
        <v>1014</v>
      </c>
      <c r="D128" s="40" t="s">
        <v>1312</v>
      </c>
      <c r="E128" s="16" t="s">
        <v>1102</v>
      </c>
      <c r="F128" s="19" t="s">
        <v>1106</v>
      </c>
      <c r="G128" s="34">
        <v>3.5179999999999998</v>
      </c>
      <c r="H128" s="34">
        <v>3.3730000000000002</v>
      </c>
      <c r="I128" s="1"/>
    </row>
    <row r="129" spans="1:9" ht="105" x14ac:dyDescent="0.25">
      <c r="A129" s="109"/>
      <c r="B129" s="34">
        <v>70</v>
      </c>
      <c r="C129" s="105" t="s">
        <v>1040</v>
      </c>
      <c r="D129" s="40" t="s">
        <v>1312</v>
      </c>
      <c r="E129" s="16" t="s">
        <v>1102</v>
      </c>
      <c r="F129" s="19" t="s">
        <v>1106</v>
      </c>
      <c r="G129" s="34">
        <v>3.5179999999999998</v>
      </c>
      <c r="H129" s="34">
        <v>3.3730000000000002</v>
      </c>
      <c r="I129" s="1"/>
    </row>
    <row r="130" spans="1:9" ht="101.25" customHeight="1" x14ac:dyDescent="0.25">
      <c r="A130" s="109"/>
      <c r="B130" s="34">
        <v>71</v>
      </c>
      <c r="C130" s="105" t="s">
        <v>1051</v>
      </c>
      <c r="D130" s="40" t="s">
        <v>1312</v>
      </c>
      <c r="E130" s="16" t="s">
        <v>1102</v>
      </c>
      <c r="F130" s="19" t="s">
        <v>1106</v>
      </c>
      <c r="G130" s="34">
        <v>3.5179999999999998</v>
      </c>
      <c r="H130" s="34">
        <v>3.3730000000000002</v>
      </c>
      <c r="I130" s="1"/>
    </row>
    <row r="131" spans="1:9" ht="93.75" customHeight="1" x14ac:dyDescent="0.25">
      <c r="A131" s="109"/>
      <c r="B131" s="34">
        <v>72</v>
      </c>
      <c r="C131" s="105" t="s">
        <v>1057</v>
      </c>
      <c r="D131" s="40" t="s">
        <v>1312</v>
      </c>
      <c r="E131" s="16" t="s">
        <v>1102</v>
      </c>
      <c r="F131" s="19" t="s">
        <v>1106</v>
      </c>
      <c r="G131" s="34">
        <v>3.5179999999999998</v>
      </c>
      <c r="H131" s="34">
        <v>3.3730000000000002</v>
      </c>
      <c r="I131" s="1"/>
    </row>
    <row r="132" spans="1:9" ht="105" x14ac:dyDescent="0.25">
      <c r="A132" s="109"/>
      <c r="B132" s="34">
        <v>73</v>
      </c>
      <c r="C132" s="105" t="s">
        <v>1231</v>
      </c>
      <c r="D132" s="40" t="s">
        <v>1312</v>
      </c>
      <c r="E132" s="16" t="s">
        <v>1102</v>
      </c>
      <c r="F132" s="19" t="s">
        <v>1106</v>
      </c>
      <c r="G132" s="34">
        <v>3.5179999999999998</v>
      </c>
      <c r="H132" s="34">
        <v>3.3730000000000002</v>
      </c>
      <c r="I132" s="1"/>
    </row>
    <row r="133" spans="1:9" ht="63" x14ac:dyDescent="0.25">
      <c r="A133" s="109"/>
      <c r="B133" s="34">
        <v>74</v>
      </c>
      <c r="C133" s="105" t="s">
        <v>1287</v>
      </c>
      <c r="D133" s="40" t="s">
        <v>1349</v>
      </c>
      <c r="E133" s="16" t="s">
        <v>1102</v>
      </c>
      <c r="F133" s="10" t="s">
        <v>1106</v>
      </c>
      <c r="G133" s="106">
        <v>5</v>
      </c>
      <c r="H133" s="106">
        <v>3</v>
      </c>
      <c r="I133" s="1"/>
    </row>
    <row r="134" spans="1:9" ht="104.25" customHeight="1" x14ac:dyDescent="0.25">
      <c r="A134" s="109"/>
      <c r="B134" s="34">
        <v>75</v>
      </c>
      <c r="C134" s="105" t="s">
        <v>501</v>
      </c>
      <c r="D134" s="40" t="s">
        <v>1349</v>
      </c>
      <c r="E134" s="16" t="s">
        <v>1102</v>
      </c>
      <c r="F134" s="10" t="s">
        <v>1106</v>
      </c>
      <c r="G134" s="106">
        <v>5</v>
      </c>
      <c r="H134" s="106">
        <v>3</v>
      </c>
      <c r="I134" s="1"/>
    </row>
    <row r="135" spans="1:9" ht="15.75" x14ac:dyDescent="0.25">
      <c r="A135" s="110"/>
      <c r="B135" s="34"/>
      <c r="C135" s="105"/>
      <c r="D135" s="40"/>
      <c r="E135" s="16"/>
      <c r="F135" s="10"/>
      <c r="G135" s="102"/>
      <c r="H135" s="102"/>
      <c r="I135" s="1"/>
    </row>
    <row r="136" spans="1:9" ht="105" x14ac:dyDescent="0.25">
      <c r="A136" s="100" t="s">
        <v>1317</v>
      </c>
      <c r="B136" s="34">
        <v>1</v>
      </c>
      <c r="C136" s="108" t="s">
        <v>574</v>
      </c>
      <c r="D136" s="40" t="s">
        <v>1316</v>
      </c>
      <c r="E136" s="16" t="s">
        <v>1102</v>
      </c>
      <c r="F136" s="19" t="s">
        <v>1106</v>
      </c>
      <c r="G136" s="34">
        <v>40</v>
      </c>
      <c r="H136" s="34">
        <v>40</v>
      </c>
      <c r="I136" s="1"/>
    </row>
    <row r="137" spans="1:9" ht="69" customHeight="1" x14ac:dyDescent="0.25">
      <c r="A137" s="109"/>
      <c r="B137" s="34">
        <v>2</v>
      </c>
      <c r="C137" s="101" t="s">
        <v>1234</v>
      </c>
      <c r="D137" s="40" t="s">
        <v>1316</v>
      </c>
      <c r="E137" s="16" t="s">
        <v>1102</v>
      </c>
      <c r="F137" s="19" t="s">
        <v>1106</v>
      </c>
      <c r="G137" s="34">
        <v>40</v>
      </c>
      <c r="H137" s="34">
        <v>40</v>
      </c>
      <c r="I137" s="1"/>
    </row>
    <row r="138" spans="1:9" ht="91.5" customHeight="1" x14ac:dyDescent="0.25">
      <c r="A138" s="109"/>
      <c r="B138" s="34">
        <v>3</v>
      </c>
      <c r="C138" s="105" t="s">
        <v>1257</v>
      </c>
      <c r="D138" s="40" t="s">
        <v>1316</v>
      </c>
      <c r="E138" s="16" t="s">
        <v>1102</v>
      </c>
      <c r="F138" s="19" t="s">
        <v>1106</v>
      </c>
      <c r="G138" s="34">
        <v>40</v>
      </c>
      <c r="H138" s="34">
        <v>40</v>
      </c>
      <c r="I138" s="1"/>
    </row>
    <row r="139" spans="1:9" ht="225" x14ac:dyDescent="0.25">
      <c r="A139" s="109"/>
      <c r="B139" s="34">
        <v>4</v>
      </c>
      <c r="C139" s="105" t="s">
        <v>1124</v>
      </c>
      <c r="D139" s="40" t="s">
        <v>1312</v>
      </c>
      <c r="E139" s="16" t="s">
        <v>1102</v>
      </c>
      <c r="F139" s="19" t="s">
        <v>1106</v>
      </c>
      <c r="G139" s="34">
        <v>3.5179999999999998</v>
      </c>
      <c r="H139" s="34">
        <v>3.3730000000000002</v>
      </c>
      <c r="I139" s="1"/>
    </row>
    <row r="140" spans="1:9" ht="90.75" customHeight="1" x14ac:dyDescent="0.25">
      <c r="A140" s="109"/>
      <c r="B140" s="34">
        <v>5</v>
      </c>
      <c r="C140" s="105" t="s">
        <v>527</v>
      </c>
      <c r="D140" s="40" t="s">
        <v>1312</v>
      </c>
      <c r="E140" s="16" t="s">
        <v>1102</v>
      </c>
      <c r="F140" s="10" t="s">
        <v>1106</v>
      </c>
      <c r="G140" s="106">
        <v>30</v>
      </c>
      <c r="H140" s="106"/>
      <c r="I140" s="1"/>
    </row>
    <row r="141" spans="1:9" ht="63" x14ac:dyDescent="0.25">
      <c r="A141" s="109"/>
      <c r="B141" s="34">
        <v>6</v>
      </c>
      <c r="C141" s="105" t="s">
        <v>1122</v>
      </c>
      <c r="D141" s="40" t="s">
        <v>1312</v>
      </c>
      <c r="E141" s="16" t="s">
        <v>1102</v>
      </c>
      <c r="F141" s="10" t="s">
        <v>1106</v>
      </c>
      <c r="G141" s="106">
        <v>35</v>
      </c>
      <c r="H141" s="106"/>
      <c r="I141" s="1"/>
    </row>
    <row r="142" spans="1:9" ht="63.75" customHeight="1" x14ac:dyDescent="0.25">
      <c r="A142" s="109"/>
      <c r="B142" s="34">
        <v>7</v>
      </c>
      <c r="C142" s="105" t="s">
        <v>1259</v>
      </c>
      <c r="D142" s="40" t="s">
        <v>1312</v>
      </c>
      <c r="E142" s="16" t="s">
        <v>1102</v>
      </c>
      <c r="F142" s="10" t="s">
        <v>1106</v>
      </c>
      <c r="G142" s="106">
        <v>30</v>
      </c>
      <c r="H142" s="106"/>
      <c r="I142" s="1"/>
    </row>
    <row r="143" spans="1:9" ht="63" x14ac:dyDescent="0.25">
      <c r="A143" s="109"/>
      <c r="B143" s="34">
        <v>8</v>
      </c>
      <c r="C143" s="105" t="s">
        <v>443</v>
      </c>
      <c r="D143" s="40" t="s">
        <v>1310</v>
      </c>
      <c r="E143" s="16" t="s">
        <v>1102</v>
      </c>
      <c r="F143" s="10" t="s">
        <v>1106</v>
      </c>
      <c r="G143" s="106">
        <v>20</v>
      </c>
      <c r="H143" s="106">
        <v>8</v>
      </c>
      <c r="I143" s="1"/>
    </row>
    <row r="144" spans="1:9" ht="75" x14ac:dyDescent="0.25">
      <c r="A144" s="109"/>
      <c r="B144" s="34">
        <v>9</v>
      </c>
      <c r="C144" s="105" t="s">
        <v>456</v>
      </c>
      <c r="D144" s="40" t="s">
        <v>1310</v>
      </c>
      <c r="E144" s="16" t="s">
        <v>1102</v>
      </c>
      <c r="F144" s="10" t="s">
        <v>1106</v>
      </c>
      <c r="G144" s="106">
        <v>20</v>
      </c>
      <c r="H144" s="106">
        <v>8</v>
      </c>
      <c r="I144" s="1"/>
    </row>
    <row r="145" spans="1:12" ht="63" x14ac:dyDescent="0.25">
      <c r="A145" s="109"/>
      <c r="B145" s="34">
        <v>10</v>
      </c>
      <c r="C145" s="105" t="s">
        <v>494</v>
      </c>
      <c r="D145" s="40" t="s">
        <v>1310</v>
      </c>
      <c r="E145" s="16" t="s">
        <v>1102</v>
      </c>
      <c r="F145" s="10" t="s">
        <v>1106</v>
      </c>
      <c r="G145" s="106">
        <v>20</v>
      </c>
      <c r="H145" s="106">
        <v>8</v>
      </c>
      <c r="I145" s="1"/>
    </row>
    <row r="146" spans="1:12" ht="63" x14ac:dyDescent="0.25">
      <c r="A146" s="109"/>
      <c r="B146" s="34">
        <v>11</v>
      </c>
      <c r="C146" s="105" t="s">
        <v>460</v>
      </c>
      <c r="D146" s="40" t="s">
        <v>1334</v>
      </c>
      <c r="E146" s="16" t="s">
        <v>1102</v>
      </c>
      <c r="F146" s="10" t="s">
        <v>1106</v>
      </c>
      <c r="G146" s="106">
        <v>8</v>
      </c>
      <c r="H146" s="106">
        <v>1</v>
      </c>
      <c r="I146" s="1"/>
    </row>
    <row r="147" spans="1:12" ht="114.75" customHeight="1" x14ac:dyDescent="0.25">
      <c r="A147" s="109"/>
      <c r="B147" s="34">
        <v>12</v>
      </c>
      <c r="C147" s="105" t="s">
        <v>522</v>
      </c>
      <c r="D147" s="40" t="s">
        <v>1347</v>
      </c>
      <c r="E147" s="16" t="s">
        <v>1102</v>
      </c>
      <c r="F147" s="10" t="s">
        <v>1106</v>
      </c>
      <c r="G147" s="106"/>
      <c r="H147" s="106">
        <v>32</v>
      </c>
      <c r="I147" s="1"/>
      <c r="L147" s="83"/>
    </row>
    <row r="148" spans="1:12" ht="63" x14ac:dyDescent="0.25">
      <c r="A148" s="109"/>
      <c r="B148" s="34">
        <v>13</v>
      </c>
      <c r="C148" s="105" t="s">
        <v>1288</v>
      </c>
      <c r="D148" s="40" t="s">
        <v>1312</v>
      </c>
      <c r="E148" s="16" t="s">
        <v>1102</v>
      </c>
      <c r="F148" s="10" t="s">
        <v>1106</v>
      </c>
      <c r="G148" s="106">
        <v>5</v>
      </c>
      <c r="H148" s="106"/>
      <c r="I148" s="1"/>
      <c r="L148" s="83"/>
    </row>
    <row r="149" spans="1:12" ht="63" x14ac:dyDescent="0.25">
      <c r="A149" s="109"/>
      <c r="B149" s="34">
        <v>14</v>
      </c>
      <c r="C149" s="105" t="s">
        <v>1287</v>
      </c>
      <c r="D149" s="40" t="s">
        <v>1311</v>
      </c>
      <c r="E149" s="16" t="s">
        <v>1102</v>
      </c>
      <c r="F149" s="10" t="s">
        <v>1106</v>
      </c>
      <c r="G149" s="106">
        <v>5</v>
      </c>
      <c r="H149" s="106">
        <v>3</v>
      </c>
      <c r="I149" s="1"/>
      <c r="L149" s="83"/>
    </row>
    <row r="150" spans="1:12" ht="63" x14ac:dyDescent="0.25">
      <c r="A150" s="109"/>
      <c r="B150" s="34">
        <v>15</v>
      </c>
      <c r="C150" s="105" t="s">
        <v>1235</v>
      </c>
      <c r="D150" s="40" t="s">
        <v>1312</v>
      </c>
      <c r="E150" s="16" t="s">
        <v>1102</v>
      </c>
      <c r="F150" s="10" t="s">
        <v>1106</v>
      </c>
      <c r="G150" s="106">
        <v>50</v>
      </c>
      <c r="H150" s="106"/>
      <c r="I150" s="1"/>
    </row>
    <row r="151" spans="1:12" ht="90" x14ac:dyDescent="0.25">
      <c r="A151" s="109"/>
      <c r="B151" s="34">
        <v>16</v>
      </c>
      <c r="C151" s="105" t="s">
        <v>1242</v>
      </c>
      <c r="D151" s="40" t="s">
        <v>1347</v>
      </c>
      <c r="E151" s="16" t="s">
        <v>1102</v>
      </c>
      <c r="F151" s="10" t="s">
        <v>1106</v>
      </c>
      <c r="G151" s="106"/>
      <c r="H151" s="106">
        <v>32</v>
      </c>
      <c r="I151" s="1"/>
    </row>
    <row r="152" spans="1:12" ht="106.5" customHeight="1" x14ac:dyDescent="0.25">
      <c r="A152" s="109"/>
      <c r="B152" s="34">
        <v>17</v>
      </c>
      <c r="C152" s="105" t="s">
        <v>501</v>
      </c>
      <c r="D152" s="40" t="s">
        <v>1311</v>
      </c>
      <c r="E152" s="16" t="s">
        <v>1102</v>
      </c>
      <c r="F152" s="10" t="s">
        <v>1106</v>
      </c>
      <c r="G152" s="106">
        <v>5</v>
      </c>
      <c r="H152" s="106">
        <v>3</v>
      </c>
      <c r="I152" s="1"/>
    </row>
    <row r="153" spans="1:12" x14ac:dyDescent="0.25">
      <c r="A153" s="110"/>
      <c r="B153" s="34"/>
      <c r="C153" s="105"/>
      <c r="D153" s="40"/>
      <c r="E153" s="41"/>
      <c r="F153" s="34"/>
      <c r="G153" s="106"/>
      <c r="H153" s="106"/>
      <c r="I153" s="1"/>
    </row>
    <row r="154" spans="1:12" ht="69" customHeight="1" x14ac:dyDescent="0.25">
      <c r="A154" s="2149" t="s">
        <v>1318</v>
      </c>
      <c r="B154" s="34">
        <v>1</v>
      </c>
      <c r="C154" s="105" t="s">
        <v>1120</v>
      </c>
      <c r="D154" s="40" t="s">
        <v>1312</v>
      </c>
      <c r="E154" s="16" t="s">
        <v>1102</v>
      </c>
      <c r="F154" s="19" t="s">
        <v>1138</v>
      </c>
      <c r="G154" s="34">
        <v>3.5179999999999998</v>
      </c>
      <c r="H154" s="34">
        <v>3.3730000000000002</v>
      </c>
      <c r="I154" s="1"/>
    </row>
    <row r="155" spans="1:12" ht="69" customHeight="1" x14ac:dyDescent="0.25">
      <c r="A155" s="2150"/>
      <c r="B155" s="34">
        <v>2</v>
      </c>
      <c r="C155" s="105" t="s">
        <v>1055</v>
      </c>
      <c r="D155" s="40" t="s">
        <v>1347</v>
      </c>
      <c r="E155" s="16" t="s">
        <v>1102</v>
      </c>
      <c r="F155" s="19" t="s">
        <v>1106</v>
      </c>
      <c r="G155" s="34">
        <v>3.5179999999999998</v>
      </c>
      <c r="H155" s="34">
        <v>3.3730000000000002</v>
      </c>
      <c r="I155" s="1"/>
    </row>
    <row r="156" spans="1:12" x14ac:dyDescent="0.25">
      <c r="A156" s="2150"/>
      <c r="B156" s="34"/>
      <c r="C156" s="105"/>
      <c r="D156" s="40"/>
      <c r="E156" s="41"/>
      <c r="F156" s="34"/>
      <c r="G156" s="106"/>
      <c r="H156" s="106"/>
      <c r="I156" s="1"/>
    </row>
    <row r="157" spans="1:12" ht="70.5" customHeight="1" x14ac:dyDescent="0.25">
      <c r="A157" s="100" t="s">
        <v>1319</v>
      </c>
      <c r="B157" s="34">
        <v>1</v>
      </c>
      <c r="C157" s="105" t="s">
        <v>884</v>
      </c>
      <c r="D157" s="40" t="s">
        <v>1312</v>
      </c>
      <c r="E157" s="16" t="s">
        <v>1102</v>
      </c>
      <c r="F157" s="19" t="s">
        <v>1138</v>
      </c>
      <c r="G157" s="34">
        <v>3.5179999999999998</v>
      </c>
      <c r="H157" s="34">
        <v>3.3730000000000002</v>
      </c>
      <c r="I157" s="1"/>
    </row>
    <row r="158" spans="1:12" ht="105.75" customHeight="1" x14ac:dyDescent="0.25">
      <c r="A158" s="109"/>
      <c r="B158" s="34">
        <v>2</v>
      </c>
      <c r="C158" s="105" t="s">
        <v>889</v>
      </c>
      <c r="D158" s="40" t="s">
        <v>1312</v>
      </c>
      <c r="E158" s="16" t="s">
        <v>1102</v>
      </c>
      <c r="F158" s="19" t="s">
        <v>1138</v>
      </c>
      <c r="G158" s="34">
        <v>3.5179999999999998</v>
      </c>
      <c r="H158" s="34">
        <v>3.3730000000000002</v>
      </c>
      <c r="I158" s="1"/>
    </row>
    <row r="159" spans="1:12" ht="67.5" customHeight="1" x14ac:dyDescent="0.25">
      <c r="A159" s="109"/>
      <c r="B159" s="34">
        <v>3</v>
      </c>
      <c r="C159" s="105" t="s">
        <v>900</v>
      </c>
      <c r="D159" s="40" t="s">
        <v>1312</v>
      </c>
      <c r="E159" s="16" t="s">
        <v>1102</v>
      </c>
      <c r="F159" s="19" t="s">
        <v>1138</v>
      </c>
      <c r="G159" s="34">
        <v>3.5179999999999998</v>
      </c>
      <c r="H159" s="34">
        <v>3.3730000000000002</v>
      </c>
      <c r="I159" s="1"/>
    </row>
    <row r="160" spans="1:12" ht="93" customHeight="1" x14ac:dyDescent="0.25">
      <c r="A160" s="109"/>
      <c r="B160" s="34">
        <v>4</v>
      </c>
      <c r="C160" s="105" t="s">
        <v>1258</v>
      </c>
      <c r="D160" s="40" t="s">
        <v>1312</v>
      </c>
      <c r="E160" s="16" t="s">
        <v>1102</v>
      </c>
      <c r="F160" s="19" t="s">
        <v>1147</v>
      </c>
      <c r="G160" s="34">
        <v>3.5179999999999998</v>
      </c>
      <c r="H160" s="34">
        <v>3.3730000000000002</v>
      </c>
      <c r="I160" s="1"/>
    </row>
    <row r="161" spans="1:9" ht="86.25" customHeight="1" x14ac:dyDescent="0.25">
      <c r="A161" s="109"/>
      <c r="B161" s="34">
        <v>5</v>
      </c>
      <c r="C161" s="105" t="s">
        <v>1167</v>
      </c>
      <c r="D161" s="40" t="s">
        <v>1312</v>
      </c>
      <c r="E161" s="16" t="s">
        <v>1102</v>
      </c>
      <c r="F161" s="19" t="s">
        <v>1106</v>
      </c>
      <c r="G161" s="34">
        <v>3.5179999999999998</v>
      </c>
      <c r="H161" s="34">
        <v>3.3730000000000002</v>
      </c>
      <c r="I161" s="1"/>
    </row>
    <row r="162" spans="1:9" ht="30.75" customHeight="1" x14ac:dyDescent="0.25">
      <c r="A162" s="110"/>
      <c r="B162" s="34"/>
      <c r="C162" s="95"/>
      <c r="D162" s="40"/>
      <c r="E162" s="41"/>
      <c r="F162" s="34"/>
      <c r="G162" s="106"/>
      <c r="H162" s="106"/>
      <c r="I162" s="1"/>
    </row>
    <row r="163" spans="1:9" ht="30" x14ac:dyDescent="0.25">
      <c r="A163" s="103" t="s">
        <v>1320</v>
      </c>
      <c r="B163" s="34"/>
      <c r="C163" s="95"/>
      <c r="D163" s="40"/>
      <c r="E163" s="41"/>
      <c r="F163" s="34"/>
      <c r="G163" s="106"/>
      <c r="H163" s="106"/>
      <c r="I163" s="1"/>
    </row>
    <row r="164" spans="1:9" ht="105" customHeight="1" x14ac:dyDescent="0.25">
      <c r="A164" s="2149" t="s">
        <v>1321</v>
      </c>
      <c r="B164" s="34">
        <v>1</v>
      </c>
      <c r="C164" s="105" t="s">
        <v>527</v>
      </c>
      <c r="D164" s="40" t="s">
        <v>1312</v>
      </c>
      <c r="E164" s="16" t="s">
        <v>1102</v>
      </c>
      <c r="F164" s="10" t="s">
        <v>1106</v>
      </c>
      <c r="G164" s="106">
        <v>30</v>
      </c>
      <c r="H164" s="106"/>
      <c r="I164" s="1"/>
    </row>
    <row r="165" spans="1:9" ht="51.75" customHeight="1" x14ac:dyDescent="0.25">
      <c r="A165" s="2150"/>
      <c r="B165" s="34">
        <v>2</v>
      </c>
      <c r="C165" s="101" t="s">
        <v>1122</v>
      </c>
      <c r="D165" s="40" t="s">
        <v>1312</v>
      </c>
      <c r="E165" s="16" t="s">
        <v>1102</v>
      </c>
      <c r="F165" s="10" t="s">
        <v>1106</v>
      </c>
      <c r="G165" s="106">
        <v>35</v>
      </c>
      <c r="H165" s="106"/>
      <c r="I165" s="1"/>
    </row>
    <row r="166" spans="1:9" ht="63" x14ac:dyDescent="0.25">
      <c r="A166" s="2150"/>
      <c r="B166" s="34">
        <v>3</v>
      </c>
      <c r="C166" s="105" t="s">
        <v>1259</v>
      </c>
      <c r="D166" s="40" t="s">
        <v>1312</v>
      </c>
      <c r="E166" s="16" t="s">
        <v>1102</v>
      </c>
      <c r="F166" s="10" t="s">
        <v>1106</v>
      </c>
      <c r="G166" s="106">
        <v>30</v>
      </c>
      <c r="H166" s="106"/>
      <c r="I166" s="1"/>
    </row>
    <row r="167" spans="1:9" ht="63" x14ac:dyDescent="0.25">
      <c r="A167" s="2150"/>
      <c r="B167" s="34">
        <v>4</v>
      </c>
      <c r="C167" s="105" t="s">
        <v>443</v>
      </c>
      <c r="D167" s="40" t="s">
        <v>1310</v>
      </c>
      <c r="E167" s="16" t="s">
        <v>1102</v>
      </c>
      <c r="F167" s="10" t="s">
        <v>1106</v>
      </c>
      <c r="G167" s="106">
        <v>20</v>
      </c>
      <c r="H167" s="106">
        <v>8</v>
      </c>
      <c r="I167" s="1"/>
    </row>
    <row r="168" spans="1:9" ht="75" x14ac:dyDescent="0.25">
      <c r="A168" s="2150"/>
      <c r="B168" s="34">
        <v>5</v>
      </c>
      <c r="C168" s="105" t="s">
        <v>456</v>
      </c>
      <c r="D168" s="40" t="s">
        <v>1310</v>
      </c>
      <c r="E168" s="16" t="s">
        <v>1102</v>
      </c>
      <c r="F168" s="10" t="s">
        <v>1106</v>
      </c>
      <c r="G168" s="106">
        <v>20</v>
      </c>
      <c r="H168" s="106">
        <v>8</v>
      </c>
      <c r="I168" s="1"/>
    </row>
    <row r="169" spans="1:9" ht="63" x14ac:dyDescent="0.25">
      <c r="A169" s="2150"/>
      <c r="B169" s="34">
        <v>6</v>
      </c>
      <c r="C169" s="105" t="s">
        <v>494</v>
      </c>
      <c r="D169" s="40" t="s">
        <v>1310</v>
      </c>
      <c r="E169" s="16" t="s">
        <v>1102</v>
      </c>
      <c r="F169" s="10" t="s">
        <v>1106</v>
      </c>
      <c r="G169" s="106">
        <v>20</v>
      </c>
      <c r="H169" s="106">
        <v>8</v>
      </c>
      <c r="I169" s="1"/>
    </row>
    <row r="170" spans="1:9" ht="63" x14ac:dyDescent="0.25">
      <c r="A170" s="2150"/>
      <c r="B170" s="34">
        <v>7</v>
      </c>
      <c r="C170" s="105" t="s">
        <v>460</v>
      </c>
      <c r="D170" s="40" t="s">
        <v>1334</v>
      </c>
      <c r="E170" s="16" t="s">
        <v>1102</v>
      </c>
      <c r="F170" s="10" t="s">
        <v>1106</v>
      </c>
      <c r="G170" s="106">
        <v>8</v>
      </c>
      <c r="H170" s="106">
        <v>1</v>
      </c>
      <c r="I170" s="1"/>
    </row>
    <row r="171" spans="1:9" ht="90" x14ac:dyDescent="0.25">
      <c r="A171" s="2150"/>
      <c r="B171" s="34">
        <v>8</v>
      </c>
      <c r="C171" s="105" t="s">
        <v>522</v>
      </c>
      <c r="D171" s="40" t="s">
        <v>1347</v>
      </c>
      <c r="E171" s="16" t="s">
        <v>1102</v>
      </c>
      <c r="F171" s="10" t="s">
        <v>1106</v>
      </c>
      <c r="G171" s="106"/>
      <c r="H171" s="106">
        <v>32</v>
      </c>
      <c r="I171" s="1"/>
    </row>
    <row r="172" spans="1:9" ht="63" x14ac:dyDescent="0.25">
      <c r="A172" s="2150"/>
      <c r="B172" s="34">
        <v>9</v>
      </c>
      <c r="C172" s="105" t="s">
        <v>1288</v>
      </c>
      <c r="D172" s="40" t="s">
        <v>1312</v>
      </c>
      <c r="E172" s="16" t="s">
        <v>1102</v>
      </c>
      <c r="F172" s="10" t="s">
        <v>1106</v>
      </c>
      <c r="G172" s="106">
        <v>5</v>
      </c>
      <c r="H172" s="106"/>
      <c r="I172" s="1"/>
    </row>
    <row r="173" spans="1:9" ht="63" x14ac:dyDescent="0.25">
      <c r="A173" s="2150"/>
      <c r="B173" s="34">
        <v>10</v>
      </c>
      <c r="C173" s="105" t="s">
        <v>1287</v>
      </c>
      <c r="D173" s="40" t="s">
        <v>1311</v>
      </c>
      <c r="E173" s="16" t="s">
        <v>1102</v>
      </c>
      <c r="F173" s="10" t="s">
        <v>1106</v>
      </c>
      <c r="G173" s="106">
        <v>5</v>
      </c>
      <c r="H173" s="106">
        <v>3</v>
      </c>
      <c r="I173" s="1"/>
    </row>
    <row r="174" spans="1:9" ht="63" x14ac:dyDescent="0.25">
      <c r="A174" s="2150"/>
      <c r="B174" s="34">
        <v>11</v>
      </c>
      <c r="C174" s="105" t="s">
        <v>1235</v>
      </c>
      <c r="D174" s="40" t="s">
        <v>1312</v>
      </c>
      <c r="E174" s="16" t="s">
        <v>1102</v>
      </c>
      <c r="F174" s="10" t="s">
        <v>1106</v>
      </c>
      <c r="G174" s="106">
        <v>50</v>
      </c>
      <c r="H174" s="106"/>
      <c r="I174" s="1"/>
    </row>
    <row r="175" spans="1:9" ht="90" x14ac:dyDescent="0.25">
      <c r="A175" s="2150"/>
      <c r="B175" s="34">
        <v>12</v>
      </c>
      <c r="C175" s="105" t="s">
        <v>1242</v>
      </c>
      <c r="D175" s="40" t="s">
        <v>1347</v>
      </c>
      <c r="E175" s="16" t="s">
        <v>1102</v>
      </c>
      <c r="F175" s="10" t="s">
        <v>1106</v>
      </c>
      <c r="G175" s="106"/>
      <c r="H175" s="106">
        <v>32</v>
      </c>
      <c r="I175" s="1"/>
    </row>
    <row r="176" spans="1:9" ht="90" x14ac:dyDescent="0.25">
      <c r="A176" s="2151"/>
      <c r="B176" s="34">
        <v>13</v>
      </c>
      <c r="C176" s="105" t="s">
        <v>501</v>
      </c>
      <c r="D176" s="40" t="s">
        <v>1311</v>
      </c>
      <c r="E176" s="16" t="s">
        <v>1102</v>
      </c>
      <c r="F176" s="10" t="s">
        <v>1106</v>
      </c>
      <c r="G176" s="106">
        <v>5</v>
      </c>
      <c r="H176" s="106">
        <v>3</v>
      </c>
      <c r="I176" s="1"/>
    </row>
    <row r="177" spans="1:9" x14ac:dyDescent="0.25">
      <c r="A177" s="107"/>
      <c r="B177" s="34"/>
      <c r="C177" s="105"/>
      <c r="D177" s="40"/>
      <c r="E177" s="41"/>
      <c r="F177" s="34"/>
      <c r="G177" s="106"/>
      <c r="H177" s="106"/>
      <c r="I177" s="1"/>
    </row>
    <row r="178" spans="1:9" ht="105" x14ac:dyDescent="0.25">
      <c r="A178" s="100" t="s">
        <v>1322</v>
      </c>
      <c r="B178" s="34">
        <v>1</v>
      </c>
      <c r="C178" s="105" t="s">
        <v>1229</v>
      </c>
      <c r="D178" s="40" t="s">
        <v>1312</v>
      </c>
      <c r="E178" s="41" t="s">
        <v>1102</v>
      </c>
      <c r="F178" s="19" t="s">
        <v>1198</v>
      </c>
      <c r="G178" s="34">
        <v>3.5179999999999998</v>
      </c>
      <c r="H178" s="34">
        <v>3.3730000000000002</v>
      </c>
      <c r="I178" s="1"/>
    </row>
    <row r="179" spans="1:9" ht="90" x14ac:dyDescent="0.25">
      <c r="A179" s="109"/>
      <c r="B179" s="34">
        <v>2</v>
      </c>
      <c r="C179" s="105" t="s">
        <v>1230</v>
      </c>
      <c r="D179" s="40" t="s">
        <v>1312</v>
      </c>
      <c r="E179" s="41" t="s">
        <v>1102</v>
      </c>
      <c r="F179" s="19" t="s">
        <v>1198</v>
      </c>
      <c r="G179" s="34">
        <v>3.5179999999999998</v>
      </c>
      <c r="H179" s="34">
        <v>3.3730000000000002</v>
      </c>
      <c r="I179" s="1"/>
    </row>
    <row r="180" spans="1:9" ht="45" x14ac:dyDescent="0.25">
      <c r="A180" s="109"/>
      <c r="B180" s="34">
        <v>3</v>
      </c>
      <c r="C180" s="105" t="s">
        <v>840</v>
      </c>
      <c r="D180" s="40" t="s">
        <v>1312</v>
      </c>
      <c r="E180" s="41" t="s">
        <v>1102</v>
      </c>
      <c r="F180" s="19" t="s">
        <v>1198</v>
      </c>
      <c r="G180" s="34">
        <v>3.5179999999999998</v>
      </c>
      <c r="H180" s="34">
        <v>3.3730000000000002</v>
      </c>
      <c r="I180" s="1"/>
    </row>
    <row r="181" spans="1:9" ht="60" x14ac:dyDescent="0.25">
      <c r="A181" s="109"/>
      <c r="B181" s="34">
        <v>4</v>
      </c>
      <c r="C181" s="105" t="s">
        <v>841</v>
      </c>
      <c r="D181" s="40" t="s">
        <v>1312</v>
      </c>
      <c r="E181" s="41" t="s">
        <v>1102</v>
      </c>
      <c r="F181" s="19" t="s">
        <v>1198</v>
      </c>
      <c r="G181" s="34">
        <v>3.5179999999999998</v>
      </c>
      <c r="H181" s="34">
        <v>3.3730000000000002</v>
      </c>
      <c r="I181" s="1"/>
    </row>
    <row r="182" spans="1:9" ht="60" x14ac:dyDescent="0.25">
      <c r="A182" s="109"/>
      <c r="B182" s="34">
        <v>5</v>
      </c>
      <c r="C182" s="105" t="s">
        <v>842</v>
      </c>
      <c r="D182" s="40" t="s">
        <v>1312</v>
      </c>
      <c r="E182" s="41" t="s">
        <v>1102</v>
      </c>
      <c r="F182" s="19" t="s">
        <v>1198</v>
      </c>
      <c r="G182" s="34">
        <v>3.5179999999999998</v>
      </c>
      <c r="H182" s="34">
        <v>3.3730000000000002</v>
      </c>
      <c r="I182" s="1"/>
    </row>
    <row r="183" spans="1:9" ht="45" x14ac:dyDescent="0.25">
      <c r="A183" s="109"/>
      <c r="B183" s="34">
        <v>6</v>
      </c>
      <c r="C183" s="105" t="s">
        <v>844</v>
      </c>
      <c r="D183" s="40" t="s">
        <v>1312</v>
      </c>
      <c r="E183" s="41" t="s">
        <v>1102</v>
      </c>
      <c r="F183" s="19" t="s">
        <v>1198</v>
      </c>
      <c r="G183" s="34">
        <v>3.5179999999999998</v>
      </c>
      <c r="H183" s="34">
        <v>3.3730000000000002</v>
      </c>
      <c r="I183" s="1"/>
    </row>
    <row r="184" spans="1:9" ht="45" x14ac:dyDescent="0.25">
      <c r="A184" s="109"/>
      <c r="B184" s="34">
        <v>7</v>
      </c>
      <c r="C184" s="105" t="s">
        <v>845</v>
      </c>
      <c r="D184" s="40" t="s">
        <v>1312</v>
      </c>
      <c r="E184" s="41" t="s">
        <v>1102</v>
      </c>
      <c r="F184" s="19" t="s">
        <v>1198</v>
      </c>
      <c r="G184" s="34">
        <v>3.5179999999999998</v>
      </c>
      <c r="H184" s="34">
        <v>3.3730000000000002</v>
      </c>
      <c r="I184" s="1"/>
    </row>
    <row r="185" spans="1:9" ht="45" x14ac:dyDescent="0.25">
      <c r="A185" s="109"/>
      <c r="B185" s="34">
        <v>8</v>
      </c>
      <c r="C185" s="105" t="s">
        <v>846</v>
      </c>
      <c r="D185" s="40" t="s">
        <v>1312</v>
      </c>
      <c r="E185" s="41" t="s">
        <v>1102</v>
      </c>
      <c r="F185" s="19" t="s">
        <v>1198</v>
      </c>
      <c r="G185" s="34">
        <v>3.5179999999999998</v>
      </c>
      <c r="H185" s="34">
        <v>3.3730000000000002</v>
      </c>
      <c r="I185" s="1"/>
    </row>
    <row r="186" spans="1:9" x14ac:dyDescent="0.25">
      <c r="A186" s="110"/>
      <c r="B186" s="34"/>
      <c r="C186" s="105"/>
      <c r="D186" s="40"/>
      <c r="E186" s="41"/>
      <c r="F186" s="34"/>
      <c r="G186" s="106"/>
      <c r="H186" s="106"/>
      <c r="I186" s="1"/>
    </row>
    <row r="187" spans="1:9" ht="63" x14ac:dyDescent="0.25">
      <c r="A187" s="100" t="s">
        <v>1323</v>
      </c>
      <c r="B187" s="34">
        <v>1</v>
      </c>
      <c r="C187" s="105" t="s">
        <v>8</v>
      </c>
      <c r="D187" s="40" t="s">
        <v>1314</v>
      </c>
      <c r="E187" s="16" t="s">
        <v>1102</v>
      </c>
      <c r="F187" s="19" t="s">
        <v>1103</v>
      </c>
      <c r="G187" s="10">
        <v>1</v>
      </c>
      <c r="H187" s="10"/>
      <c r="I187" s="10"/>
    </row>
    <row r="188" spans="1:9" ht="63" x14ac:dyDescent="0.25">
      <c r="A188" s="109"/>
      <c r="B188" s="34">
        <v>2</v>
      </c>
      <c r="C188" s="105" t="s">
        <v>36</v>
      </c>
      <c r="D188" s="40" t="s">
        <v>1314</v>
      </c>
      <c r="E188" s="16" t="s">
        <v>1102</v>
      </c>
      <c r="F188" s="19" t="s">
        <v>1103</v>
      </c>
      <c r="G188" s="10">
        <v>12</v>
      </c>
      <c r="H188" s="10">
        <v>3</v>
      </c>
      <c r="I188" s="10"/>
    </row>
    <row r="189" spans="1:9" ht="75" x14ac:dyDescent="0.25">
      <c r="A189" s="109"/>
      <c r="B189" s="34">
        <v>3</v>
      </c>
      <c r="C189" s="105" t="s">
        <v>59</v>
      </c>
      <c r="D189" s="40" t="s">
        <v>1314</v>
      </c>
      <c r="E189" s="16" t="s">
        <v>1102</v>
      </c>
      <c r="F189" s="19" t="s">
        <v>1103</v>
      </c>
      <c r="G189" s="10">
        <v>13</v>
      </c>
      <c r="H189" s="10">
        <v>3</v>
      </c>
      <c r="I189" s="10"/>
    </row>
    <row r="190" spans="1:9" ht="63" x14ac:dyDescent="0.25">
      <c r="A190" s="109"/>
      <c r="B190" s="34">
        <v>4</v>
      </c>
      <c r="C190" s="105" t="s">
        <v>82</v>
      </c>
      <c r="D190" s="40" t="s">
        <v>1314</v>
      </c>
      <c r="E190" s="16" t="s">
        <v>1102</v>
      </c>
      <c r="F190" s="19" t="s">
        <v>1103</v>
      </c>
      <c r="G190" s="10">
        <v>3.5179999999999998</v>
      </c>
      <c r="H190" s="10">
        <v>3.3730000000000002</v>
      </c>
      <c r="I190" s="10"/>
    </row>
    <row r="191" spans="1:9" ht="75" x14ac:dyDescent="0.25">
      <c r="A191" s="109"/>
      <c r="B191" s="34">
        <v>5</v>
      </c>
      <c r="C191" s="105" t="s">
        <v>475</v>
      </c>
      <c r="D191" s="40" t="s">
        <v>1314</v>
      </c>
      <c r="E191" s="16" t="s">
        <v>1102</v>
      </c>
      <c r="F191" s="19" t="s">
        <v>1103</v>
      </c>
      <c r="G191" s="10">
        <v>20</v>
      </c>
      <c r="H191" s="10">
        <v>9</v>
      </c>
      <c r="I191" s="10"/>
    </row>
    <row r="192" spans="1:9" ht="63" x14ac:dyDescent="0.25">
      <c r="A192" s="109"/>
      <c r="B192" s="34">
        <v>6</v>
      </c>
      <c r="C192" s="105" t="s">
        <v>248</v>
      </c>
      <c r="D192" s="40" t="s">
        <v>1334</v>
      </c>
      <c r="E192" s="16" t="s">
        <v>1102</v>
      </c>
      <c r="F192" s="19" t="s">
        <v>1103</v>
      </c>
      <c r="G192" s="10">
        <v>8</v>
      </c>
      <c r="H192" s="10">
        <v>1</v>
      </c>
      <c r="I192" s="10"/>
    </row>
    <row r="193" spans="1:9" ht="63" x14ac:dyDescent="0.25">
      <c r="A193" s="109"/>
      <c r="B193" s="34">
        <v>7</v>
      </c>
      <c r="C193" s="105" t="s">
        <v>264</v>
      </c>
      <c r="D193" s="40" t="s">
        <v>1334</v>
      </c>
      <c r="E193" s="16" t="s">
        <v>1102</v>
      </c>
      <c r="F193" s="19" t="s">
        <v>1138</v>
      </c>
      <c r="G193" s="10">
        <v>8</v>
      </c>
      <c r="H193" s="10">
        <v>1</v>
      </c>
      <c r="I193" s="10"/>
    </row>
    <row r="194" spans="1:9" ht="63" x14ac:dyDescent="0.25">
      <c r="A194" s="109"/>
      <c r="B194" s="34">
        <v>8</v>
      </c>
      <c r="C194" s="105" t="s">
        <v>286</v>
      </c>
      <c r="D194" s="40" t="s">
        <v>1334</v>
      </c>
      <c r="E194" s="16" t="s">
        <v>1102</v>
      </c>
      <c r="F194" s="19" t="s">
        <v>1140</v>
      </c>
      <c r="G194" s="10">
        <v>3.5179999999999998</v>
      </c>
      <c r="H194" s="10">
        <v>3.3730000000000002</v>
      </c>
      <c r="I194" s="10"/>
    </row>
    <row r="195" spans="1:9" ht="63" x14ac:dyDescent="0.25">
      <c r="A195" s="109"/>
      <c r="B195" s="34">
        <v>9</v>
      </c>
      <c r="C195" s="105" t="s">
        <v>301</v>
      </c>
      <c r="D195" s="40" t="s">
        <v>1314</v>
      </c>
      <c r="E195" s="16" t="s">
        <v>1102</v>
      </c>
      <c r="F195" s="19" t="s">
        <v>1142</v>
      </c>
      <c r="G195" s="10">
        <v>9</v>
      </c>
      <c r="H195" s="10">
        <v>4</v>
      </c>
      <c r="I195" s="10"/>
    </row>
    <row r="196" spans="1:9" ht="59.25" customHeight="1" x14ac:dyDescent="0.25">
      <c r="A196" s="104"/>
      <c r="B196" s="34">
        <v>10</v>
      </c>
      <c r="C196" s="101" t="s">
        <v>1354</v>
      </c>
      <c r="D196" s="40" t="s">
        <v>1310</v>
      </c>
      <c r="E196" s="16" t="s">
        <v>1102</v>
      </c>
      <c r="F196" s="19" t="s">
        <v>1144</v>
      </c>
      <c r="G196" s="10">
        <v>3.5179999999999998</v>
      </c>
      <c r="H196" s="10">
        <v>3.3730000000000002</v>
      </c>
      <c r="I196" s="10"/>
    </row>
    <row r="197" spans="1:9" ht="63" x14ac:dyDescent="0.25">
      <c r="A197" s="109"/>
      <c r="B197" s="34">
        <v>11</v>
      </c>
      <c r="C197" s="105" t="s">
        <v>482</v>
      </c>
      <c r="D197" s="40" t="s">
        <v>1314</v>
      </c>
      <c r="E197" s="16" t="s">
        <v>1102</v>
      </c>
      <c r="F197" s="19" t="s">
        <v>1103</v>
      </c>
      <c r="G197" s="10">
        <v>3.5179999999999998</v>
      </c>
      <c r="H197" s="10">
        <v>3.3730000000000002</v>
      </c>
      <c r="I197" s="10"/>
    </row>
    <row r="198" spans="1:9" ht="63" x14ac:dyDescent="0.25">
      <c r="A198" s="109"/>
      <c r="B198" s="34">
        <v>12</v>
      </c>
      <c r="C198" s="105" t="s">
        <v>490</v>
      </c>
      <c r="D198" s="40" t="s">
        <v>1314</v>
      </c>
      <c r="E198" s="16" t="s">
        <v>1102</v>
      </c>
      <c r="F198" s="19" t="s">
        <v>1103</v>
      </c>
      <c r="G198" s="10">
        <v>20</v>
      </c>
      <c r="H198" s="10">
        <v>8</v>
      </c>
      <c r="I198" s="10"/>
    </row>
    <row r="199" spans="1:9" ht="63" x14ac:dyDescent="0.25">
      <c r="A199" s="109"/>
      <c r="B199" s="34">
        <v>13</v>
      </c>
      <c r="C199" s="105" t="s">
        <v>539</v>
      </c>
      <c r="D199" s="40" t="s">
        <v>1312</v>
      </c>
      <c r="E199" s="16" t="s">
        <v>1102</v>
      </c>
      <c r="F199" s="19" t="s">
        <v>1103</v>
      </c>
      <c r="G199" s="10">
        <v>1</v>
      </c>
      <c r="H199" s="10"/>
      <c r="I199" s="10"/>
    </row>
    <row r="200" spans="1:9" ht="63" x14ac:dyDescent="0.25">
      <c r="A200" s="109"/>
      <c r="B200" s="34">
        <v>14</v>
      </c>
      <c r="C200" s="105" t="s">
        <v>421</v>
      </c>
      <c r="D200" s="40" t="s">
        <v>1314</v>
      </c>
      <c r="E200" s="16" t="s">
        <v>1102</v>
      </c>
      <c r="F200" s="19" t="s">
        <v>1144</v>
      </c>
      <c r="G200" s="10">
        <v>20</v>
      </c>
      <c r="H200" s="10">
        <v>8</v>
      </c>
      <c r="I200" s="10"/>
    </row>
    <row r="201" spans="1:9" ht="63" x14ac:dyDescent="0.25">
      <c r="A201" s="109"/>
      <c r="B201" s="34">
        <v>15</v>
      </c>
      <c r="C201" s="105" t="s">
        <v>544</v>
      </c>
      <c r="D201" s="40" t="s">
        <v>1314</v>
      </c>
      <c r="E201" s="16" t="s">
        <v>1102</v>
      </c>
      <c r="F201" s="19" t="s">
        <v>1147</v>
      </c>
      <c r="G201" s="10">
        <v>3.5179999999999998</v>
      </c>
      <c r="H201" s="10">
        <v>3.3730000000000002</v>
      </c>
      <c r="I201" s="10"/>
    </row>
    <row r="202" spans="1:9" ht="63" x14ac:dyDescent="0.25">
      <c r="A202" s="109"/>
      <c r="B202" s="34">
        <v>16</v>
      </c>
      <c r="C202" s="105" t="s">
        <v>551</v>
      </c>
      <c r="D202" s="40" t="s">
        <v>1314</v>
      </c>
      <c r="E202" s="16" t="s">
        <v>1102</v>
      </c>
      <c r="F202" s="19" t="s">
        <v>1147</v>
      </c>
      <c r="G202" s="10">
        <v>3.5179999999999998</v>
      </c>
      <c r="H202" s="10">
        <v>3.3730000000000002</v>
      </c>
      <c r="I202" s="10"/>
    </row>
    <row r="203" spans="1:9" ht="63" x14ac:dyDescent="0.25">
      <c r="A203" s="109"/>
      <c r="B203" s="34">
        <v>17</v>
      </c>
      <c r="C203" s="105" t="s">
        <v>552</v>
      </c>
      <c r="D203" s="40" t="s">
        <v>1334</v>
      </c>
      <c r="E203" s="16" t="s">
        <v>1102</v>
      </c>
      <c r="F203" s="19" t="s">
        <v>1147</v>
      </c>
      <c r="G203" s="10">
        <v>3.5179999999999998</v>
      </c>
      <c r="H203" s="10">
        <v>3.3730000000000002</v>
      </c>
      <c r="I203" s="10"/>
    </row>
    <row r="204" spans="1:9" ht="63" x14ac:dyDescent="0.25">
      <c r="A204" s="109"/>
      <c r="B204" s="34">
        <v>18</v>
      </c>
      <c r="C204" s="105" t="s">
        <v>553</v>
      </c>
      <c r="D204" s="40" t="s">
        <v>1314</v>
      </c>
      <c r="E204" s="16" t="s">
        <v>1102</v>
      </c>
      <c r="F204" s="19" t="s">
        <v>1147</v>
      </c>
      <c r="G204" s="10">
        <v>3.5179999999999998</v>
      </c>
      <c r="H204" s="10">
        <v>3.3730000000000002</v>
      </c>
      <c r="I204" s="10"/>
    </row>
    <row r="205" spans="1:9" ht="63" x14ac:dyDescent="0.25">
      <c r="A205" s="109"/>
      <c r="B205" s="34">
        <v>19</v>
      </c>
      <c r="C205" s="105" t="s">
        <v>554</v>
      </c>
      <c r="D205" s="40" t="s">
        <v>1314</v>
      </c>
      <c r="E205" s="16" t="s">
        <v>1102</v>
      </c>
      <c r="F205" s="19" t="s">
        <v>1147</v>
      </c>
      <c r="G205" s="10">
        <v>3.5179999999999998</v>
      </c>
      <c r="H205" s="10">
        <v>3.3730000000000002</v>
      </c>
      <c r="I205" s="10"/>
    </row>
    <row r="206" spans="1:9" ht="75" x14ac:dyDescent="0.25">
      <c r="A206" s="109"/>
      <c r="B206" s="34">
        <v>20</v>
      </c>
      <c r="C206" s="105" t="s">
        <v>330</v>
      </c>
      <c r="D206" s="40" t="s">
        <v>1312</v>
      </c>
      <c r="E206" s="16" t="s">
        <v>1102</v>
      </c>
      <c r="F206" s="19" t="s">
        <v>1147</v>
      </c>
      <c r="G206" s="10">
        <v>3.5179999999999998</v>
      </c>
      <c r="H206" s="10">
        <v>3.3730000000000002</v>
      </c>
      <c r="I206" s="10"/>
    </row>
    <row r="207" spans="1:9" ht="75" x14ac:dyDescent="0.25">
      <c r="A207" s="109"/>
      <c r="B207" s="34">
        <v>21</v>
      </c>
      <c r="C207" s="105" t="s">
        <v>1182</v>
      </c>
      <c r="D207" s="40" t="s">
        <v>1312</v>
      </c>
      <c r="E207" s="16" t="s">
        <v>1102</v>
      </c>
      <c r="F207" s="19" t="s">
        <v>1147</v>
      </c>
      <c r="G207" s="10">
        <v>3.5179999999999998</v>
      </c>
      <c r="H207" s="10">
        <v>3.3730000000000002</v>
      </c>
      <c r="I207" s="10"/>
    </row>
    <row r="208" spans="1:9" ht="75" x14ac:dyDescent="0.25">
      <c r="A208" s="109"/>
      <c r="B208" s="34">
        <v>22</v>
      </c>
      <c r="C208" s="105" t="s">
        <v>1243</v>
      </c>
      <c r="D208" s="40" t="s">
        <v>1314</v>
      </c>
      <c r="E208" s="16" t="s">
        <v>1102</v>
      </c>
      <c r="F208" s="19" t="s">
        <v>1147</v>
      </c>
      <c r="G208" s="10">
        <v>20</v>
      </c>
      <c r="H208" s="10">
        <v>8</v>
      </c>
      <c r="I208" s="15"/>
    </row>
    <row r="209" spans="1:9" ht="106.5" customHeight="1" x14ac:dyDescent="0.25">
      <c r="A209" s="109"/>
      <c r="B209" s="34">
        <v>23</v>
      </c>
      <c r="C209" s="105" t="s">
        <v>312</v>
      </c>
      <c r="D209" s="40" t="s">
        <v>1312</v>
      </c>
      <c r="E209" s="16" t="s">
        <v>1102</v>
      </c>
      <c r="F209" s="19" t="s">
        <v>1151</v>
      </c>
      <c r="G209" s="10">
        <v>3.5179999999999998</v>
      </c>
      <c r="H209" s="10">
        <v>3.3730000000000002</v>
      </c>
      <c r="I209" s="40"/>
    </row>
    <row r="210" spans="1:9" ht="63" x14ac:dyDescent="0.25">
      <c r="A210" s="109"/>
      <c r="B210" s="34">
        <v>24</v>
      </c>
      <c r="C210" s="105" t="s">
        <v>363</v>
      </c>
      <c r="D210" s="40" t="s">
        <v>1314</v>
      </c>
      <c r="E210" s="16" t="s">
        <v>1102</v>
      </c>
      <c r="F210" s="19" t="s">
        <v>1106</v>
      </c>
      <c r="G210" s="10">
        <v>3.5179999999999998</v>
      </c>
      <c r="H210" s="10">
        <v>3.3730000000000002</v>
      </c>
      <c r="I210" s="40"/>
    </row>
    <row r="211" spans="1:9" ht="105" x14ac:dyDescent="0.25">
      <c r="A211" s="109"/>
      <c r="B211" s="34">
        <v>25</v>
      </c>
      <c r="C211" s="105" t="s">
        <v>381</v>
      </c>
      <c r="D211" s="40" t="s">
        <v>1314</v>
      </c>
      <c r="E211" s="16" t="s">
        <v>1102</v>
      </c>
      <c r="F211" s="19" t="s">
        <v>1152</v>
      </c>
      <c r="G211" s="10">
        <v>3.5179999999999998</v>
      </c>
      <c r="H211" s="10">
        <v>3.3730000000000002</v>
      </c>
      <c r="I211" s="40"/>
    </row>
    <row r="212" spans="1:9" ht="63" x14ac:dyDescent="0.25">
      <c r="A212" s="109"/>
      <c r="B212" s="34">
        <v>26</v>
      </c>
      <c r="C212" s="105" t="s">
        <v>386</v>
      </c>
      <c r="D212" s="40" t="s">
        <v>1314</v>
      </c>
      <c r="E212" s="16" t="s">
        <v>1102</v>
      </c>
      <c r="F212" s="19" t="s">
        <v>1153</v>
      </c>
      <c r="G212" s="10">
        <v>3.5179999999999998</v>
      </c>
      <c r="H212" s="10">
        <v>3.3730000000000002</v>
      </c>
      <c r="I212" s="40"/>
    </row>
    <row r="213" spans="1:9" ht="63" x14ac:dyDescent="0.25">
      <c r="A213" s="109"/>
      <c r="B213" s="34">
        <v>27</v>
      </c>
      <c r="C213" s="105" t="s">
        <v>569</v>
      </c>
      <c r="D213" s="40" t="s">
        <v>1314</v>
      </c>
      <c r="E213" s="16" t="s">
        <v>1102</v>
      </c>
      <c r="F213" s="19" t="s">
        <v>1106</v>
      </c>
      <c r="G213" s="10">
        <v>3.5179999999999998</v>
      </c>
      <c r="H213" s="10">
        <v>3.3730000000000002</v>
      </c>
      <c r="I213" s="40"/>
    </row>
    <row r="214" spans="1:9" ht="63" x14ac:dyDescent="0.25">
      <c r="A214" s="109"/>
      <c r="B214" s="34">
        <v>28</v>
      </c>
      <c r="C214" s="105" t="s">
        <v>411</v>
      </c>
      <c r="D214" s="40" t="s">
        <v>1314</v>
      </c>
      <c r="E214" s="16" t="s">
        <v>1102</v>
      </c>
      <c r="F214" s="19" t="s">
        <v>1106</v>
      </c>
      <c r="G214" s="10">
        <v>3.5179999999999998</v>
      </c>
      <c r="H214" s="10">
        <v>3.3730000000000002</v>
      </c>
      <c r="I214" s="40"/>
    </row>
    <row r="215" spans="1:9" ht="63" x14ac:dyDescent="0.25">
      <c r="A215" s="109"/>
      <c r="B215" s="34">
        <v>29</v>
      </c>
      <c r="C215" s="105" t="s">
        <v>413</v>
      </c>
      <c r="D215" s="40" t="s">
        <v>1314</v>
      </c>
      <c r="E215" s="16" t="s">
        <v>1102</v>
      </c>
      <c r="F215" s="19" t="s">
        <v>1106</v>
      </c>
      <c r="G215" s="10">
        <v>3.5179999999999998</v>
      </c>
      <c r="H215" s="10">
        <v>3.3730000000000002</v>
      </c>
      <c r="I215" s="40"/>
    </row>
    <row r="216" spans="1:9" ht="63" x14ac:dyDescent="0.25">
      <c r="A216" s="109"/>
      <c r="B216" s="34">
        <v>30</v>
      </c>
      <c r="C216" s="105" t="s">
        <v>415</v>
      </c>
      <c r="D216" s="40" t="s">
        <v>1314</v>
      </c>
      <c r="E216" s="16" t="s">
        <v>1102</v>
      </c>
      <c r="F216" s="19" t="s">
        <v>1106</v>
      </c>
      <c r="G216" s="10">
        <v>3.5179999999999998</v>
      </c>
      <c r="H216" s="10">
        <v>3.3730000000000002</v>
      </c>
      <c r="I216" s="40"/>
    </row>
    <row r="217" spans="1:9" ht="90" x14ac:dyDescent="0.25">
      <c r="A217" s="109"/>
      <c r="B217" s="34">
        <v>31</v>
      </c>
      <c r="C217" s="105" t="s">
        <v>396</v>
      </c>
      <c r="D217" s="40" t="s">
        <v>1314</v>
      </c>
      <c r="E217" s="16" t="s">
        <v>1102</v>
      </c>
      <c r="F217" s="22" t="s">
        <v>1106</v>
      </c>
      <c r="G217" s="10">
        <v>3.5179999999999998</v>
      </c>
      <c r="H217" s="10">
        <v>3.3730000000000002</v>
      </c>
      <c r="I217" s="93"/>
    </row>
    <row r="218" spans="1:9" ht="120" x14ac:dyDescent="0.25">
      <c r="A218" s="109"/>
      <c r="B218" s="34">
        <v>32</v>
      </c>
      <c r="C218" s="105" t="s">
        <v>913</v>
      </c>
      <c r="D218" s="40" t="s">
        <v>1312</v>
      </c>
      <c r="E218" s="16" t="s">
        <v>1102</v>
      </c>
      <c r="F218" s="19" t="s">
        <v>1106</v>
      </c>
      <c r="G218" s="34">
        <v>3.5179999999999998</v>
      </c>
      <c r="H218" s="34">
        <v>3.3730000000000002</v>
      </c>
      <c r="I218" s="1"/>
    </row>
    <row r="219" spans="1:9" ht="120" x14ac:dyDescent="0.25">
      <c r="A219" s="109"/>
      <c r="B219" s="34">
        <v>33</v>
      </c>
      <c r="C219" s="105" t="s">
        <v>920</v>
      </c>
      <c r="D219" s="40" t="s">
        <v>1312</v>
      </c>
      <c r="E219" s="16" t="s">
        <v>1102</v>
      </c>
      <c r="F219" s="19" t="s">
        <v>1106</v>
      </c>
      <c r="G219" s="34">
        <v>3.5179999999999998</v>
      </c>
      <c r="H219" s="34">
        <v>3.3730000000000002</v>
      </c>
      <c r="I219" s="1"/>
    </row>
    <row r="220" spans="1:9" ht="123.75" customHeight="1" x14ac:dyDescent="0.25">
      <c r="A220" s="109"/>
      <c r="B220" s="34">
        <v>34</v>
      </c>
      <c r="C220" s="105" t="s">
        <v>924</v>
      </c>
      <c r="D220" s="40" t="s">
        <v>1346</v>
      </c>
      <c r="E220" s="16" t="s">
        <v>1102</v>
      </c>
      <c r="F220" s="19" t="s">
        <v>1106</v>
      </c>
      <c r="G220" s="34">
        <v>35</v>
      </c>
      <c r="H220" s="34"/>
      <c r="I220" s="1"/>
    </row>
    <row r="221" spans="1:9" ht="105" x14ac:dyDescent="0.25">
      <c r="A221" s="109"/>
      <c r="B221" s="34">
        <v>35</v>
      </c>
      <c r="C221" s="105" t="s">
        <v>927</v>
      </c>
      <c r="D221" s="40" t="s">
        <v>1346</v>
      </c>
      <c r="E221" s="16" t="s">
        <v>1102</v>
      </c>
      <c r="F221" s="19" t="s">
        <v>1138</v>
      </c>
      <c r="G221" s="34">
        <v>35</v>
      </c>
      <c r="H221" s="34"/>
      <c r="I221" s="1"/>
    </row>
    <row r="222" spans="1:9" ht="63" x14ac:dyDescent="0.25">
      <c r="A222" s="109"/>
      <c r="B222" s="34">
        <v>36</v>
      </c>
      <c r="C222" s="105" t="s">
        <v>938</v>
      </c>
      <c r="D222" s="40" t="s">
        <v>1347</v>
      </c>
      <c r="E222" s="16" t="s">
        <v>1102</v>
      </c>
      <c r="F222" s="19" t="s">
        <v>1106</v>
      </c>
      <c r="G222" s="34"/>
      <c r="H222" s="34">
        <v>29</v>
      </c>
      <c r="I222" s="1"/>
    </row>
    <row r="223" spans="1:9" ht="75" x14ac:dyDescent="0.25">
      <c r="A223" s="109"/>
      <c r="B223" s="34">
        <v>37</v>
      </c>
      <c r="C223" s="105" t="s">
        <v>996</v>
      </c>
      <c r="D223" s="40" t="s">
        <v>1314</v>
      </c>
      <c r="E223" s="16" t="s">
        <v>1102</v>
      </c>
      <c r="F223" s="19" t="s">
        <v>1106</v>
      </c>
      <c r="G223" s="34">
        <v>20</v>
      </c>
      <c r="H223" s="34">
        <v>8</v>
      </c>
      <c r="I223" s="1"/>
    </row>
    <row r="224" spans="1:9" ht="63" x14ac:dyDescent="0.25">
      <c r="A224" s="109"/>
      <c r="B224" s="34">
        <v>38</v>
      </c>
      <c r="C224" s="105" t="s">
        <v>956</v>
      </c>
      <c r="D224" s="40" t="s">
        <v>1314</v>
      </c>
      <c r="E224" s="16" t="s">
        <v>1102</v>
      </c>
      <c r="F224" s="19" t="s">
        <v>1106</v>
      </c>
      <c r="G224" s="34">
        <v>20</v>
      </c>
      <c r="H224" s="34">
        <v>8</v>
      </c>
      <c r="I224" s="1"/>
    </row>
    <row r="225" spans="1:9" ht="63" x14ac:dyDescent="0.25">
      <c r="A225" s="109"/>
      <c r="B225" s="34">
        <v>39</v>
      </c>
      <c r="C225" s="105" t="s">
        <v>966</v>
      </c>
      <c r="D225" s="40" t="s">
        <v>1314</v>
      </c>
      <c r="E225" s="16" t="s">
        <v>1102</v>
      </c>
      <c r="F225" s="19" t="s">
        <v>1106</v>
      </c>
      <c r="G225" s="34">
        <v>20</v>
      </c>
      <c r="H225" s="34">
        <v>8</v>
      </c>
      <c r="I225" s="1"/>
    </row>
    <row r="226" spans="1:9" ht="63" x14ac:dyDescent="0.25">
      <c r="A226" s="109"/>
      <c r="B226" s="34">
        <v>40</v>
      </c>
      <c r="C226" s="105" t="s">
        <v>1121</v>
      </c>
      <c r="D226" s="40" t="s">
        <v>1312</v>
      </c>
      <c r="E226" s="16" t="s">
        <v>1102</v>
      </c>
      <c r="F226" s="19" t="s">
        <v>1106</v>
      </c>
      <c r="G226" s="34">
        <v>3.5179999999999998</v>
      </c>
      <c r="H226" s="34">
        <v>3.3730000000000002</v>
      </c>
      <c r="I226" s="1"/>
    </row>
    <row r="227" spans="1:9" ht="63" x14ac:dyDescent="0.25">
      <c r="A227" s="109"/>
      <c r="B227" s="34">
        <v>41</v>
      </c>
      <c r="C227" s="105" t="s">
        <v>970</v>
      </c>
      <c r="D227" s="40" t="s">
        <v>1312</v>
      </c>
      <c r="E227" s="16" t="s">
        <v>1102</v>
      </c>
      <c r="F227" s="19" t="s">
        <v>1106</v>
      </c>
      <c r="G227" s="34">
        <v>3.5179999999999998</v>
      </c>
      <c r="H227" s="34">
        <v>3.3730000000000002</v>
      </c>
      <c r="I227" s="1"/>
    </row>
    <row r="228" spans="1:9" ht="63" x14ac:dyDescent="0.25">
      <c r="A228" s="109"/>
      <c r="B228" s="34">
        <v>42</v>
      </c>
      <c r="C228" s="105" t="s">
        <v>978</v>
      </c>
      <c r="D228" s="40" t="s">
        <v>1312</v>
      </c>
      <c r="E228" s="16" t="s">
        <v>1102</v>
      </c>
      <c r="F228" s="19" t="s">
        <v>1106</v>
      </c>
      <c r="G228" s="34">
        <v>3.5179999999999998</v>
      </c>
      <c r="H228" s="34">
        <v>3.3730000000000002</v>
      </c>
      <c r="I228" s="1"/>
    </row>
    <row r="229" spans="1:9" ht="225" x14ac:dyDescent="0.25">
      <c r="A229" s="109"/>
      <c r="B229" s="34">
        <v>43</v>
      </c>
      <c r="C229" s="105" t="s">
        <v>1124</v>
      </c>
      <c r="D229" s="40" t="s">
        <v>1312</v>
      </c>
      <c r="E229" s="16" t="s">
        <v>1102</v>
      </c>
      <c r="F229" s="19" t="s">
        <v>1106</v>
      </c>
      <c r="G229" s="34">
        <v>3.5179999999999998</v>
      </c>
      <c r="H229" s="34">
        <v>3.3730000000000002</v>
      </c>
      <c r="I229" s="40"/>
    </row>
    <row r="230" spans="1:9" ht="89.25" customHeight="1" x14ac:dyDescent="0.25">
      <c r="A230" s="109"/>
      <c r="B230" s="34">
        <v>44</v>
      </c>
      <c r="C230" s="105" t="e">
        <f>#REF!</f>
        <v>#REF!</v>
      </c>
      <c r="D230" s="40" t="s">
        <v>1312</v>
      </c>
      <c r="E230" s="16" t="s">
        <v>1102</v>
      </c>
      <c r="F230" s="19" t="s">
        <v>1106</v>
      </c>
      <c r="G230" s="34">
        <v>3.5179999999999998</v>
      </c>
      <c r="H230" s="34">
        <v>3.3730000000000002</v>
      </c>
      <c r="I230" s="40"/>
    </row>
    <row r="231" spans="1:9" ht="63" x14ac:dyDescent="0.25">
      <c r="A231" s="109"/>
      <c r="B231" s="34">
        <v>45</v>
      </c>
      <c r="C231" s="105" t="s">
        <v>987</v>
      </c>
      <c r="D231" s="40" t="s">
        <v>1312</v>
      </c>
      <c r="E231" s="16" t="s">
        <v>1102</v>
      </c>
      <c r="F231" s="19" t="s">
        <v>1106</v>
      </c>
      <c r="G231" s="34">
        <v>3.5179999999999998</v>
      </c>
      <c r="H231" s="34">
        <v>3.3730000000000002</v>
      </c>
      <c r="I231" s="40"/>
    </row>
    <row r="232" spans="1:9" ht="75" x14ac:dyDescent="0.25">
      <c r="A232" s="109"/>
      <c r="B232" s="34">
        <v>46</v>
      </c>
      <c r="C232" s="105" t="s">
        <v>998</v>
      </c>
      <c r="D232" s="40" t="s">
        <v>1348</v>
      </c>
      <c r="E232" s="16" t="s">
        <v>1102</v>
      </c>
      <c r="F232" s="19" t="s">
        <v>1106</v>
      </c>
      <c r="G232" s="34">
        <v>13</v>
      </c>
      <c r="H232" s="34">
        <v>4</v>
      </c>
      <c r="I232" s="40"/>
    </row>
    <row r="233" spans="1:9" ht="63" x14ac:dyDescent="0.25">
      <c r="A233" s="109"/>
      <c r="B233" s="34">
        <v>47</v>
      </c>
      <c r="C233" s="105" t="s">
        <v>1162</v>
      </c>
      <c r="D233" s="40" t="s">
        <v>1348</v>
      </c>
      <c r="E233" s="16" t="s">
        <v>1102</v>
      </c>
      <c r="F233" s="19" t="s">
        <v>1106</v>
      </c>
      <c r="G233" s="34">
        <v>13</v>
      </c>
      <c r="H233" s="34">
        <v>4</v>
      </c>
      <c r="I233" s="40"/>
    </row>
    <row r="234" spans="1:9" ht="75" x14ac:dyDescent="0.25">
      <c r="A234" s="109"/>
      <c r="B234" s="34">
        <v>48</v>
      </c>
      <c r="C234" s="105" t="s">
        <v>1014</v>
      </c>
      <c r="D234" s="40" t="s">
        <v>1312</v>
      </c>
      <c r="E234" s="16" t="s">
        <v>1102</v>
      </c>
      <c r="F234" s="19" t="s">
        <v>1106</v>
      </c>
      <c r="G234" s="34">
        <v>3.5179999999999998</v>
      </c>
      <c r="H234" s="34">
        <v>3.3730000000000002</v>
      </c>
      <c r="I234" s="40"/>
    </row>
    <row r="235" spans="1:9" ht="115.5" customHeight="1" x14ac:dyDescent="0.25">
      <c r="A235" s="109"/>
      <c r="B235" s="34">
        <v>49</v>
      </c>
      <c r="C235" s="105" t="s">
        <v>1040</v>
      </c>
      <c r="D235" s="40" t="s">
        <v>1312</v>
      </c>
      <c r="E235" s="16" t="s">
        <v>1102</v>
      </c>
      <c r="F235" s="19" t="s">
        <v>1106</v>
      </c>
      <c r="G235" s="34">
        <v>3.5179999999999998</v>
      </c>
      <c r="H235" s="34">
        <v>3.3730000000000002</v>
      </c>
      <c r="I235" s="40"/>
    </row>
    <row r="236" spans="1:9" ht="90" x14ac:dyDescent="0.25">
      <c r="A236" s="109"/>
      <c r="B236" s="34">
        <v>50</v>
      </c>
      <c r="C236" s="105" t="s">
        <v>1051</v>
      </c>
      <c r="D236" s="40" t="s">
        <v>1312</v>
      </c>
      <c r="E236" s="16" t="s">
        <v>1102</v>
      </c>
      <c r="F236" s="19" t="s">
        <v>1106</v>
      </c>
      <c r="G236" s="34">
        <v>3.5179999999999998</v>
      </c>
      <c r="H236" s="34">
        <v>3.3730000000000002</v>
      </c>
      <c r="I236" s="1"/>
    </row>
    <row r="237" spans="1:9" ht="92.25" customHeight="1" x14ac:dyDescent="0.25">
      <c r="A237" s="109"/>
      <c r="B237" s="34">
        <v>51</v>
      </c>
      <c r="C237" s="105" t="s">
        <v>1057</v>
      </c>
      <c r="D237" s="40" t="s">
        <v>1312</v>
      </c>
      <c r="E237" s="16" t="s">
        <v>1102</v>
      </c>
      <c r="F237" s="19" t="s">
        <v>1106</v>
      </c>
      <c r="G237" s="34">
        <v>3.5179999999999998</v>
      </c>
      <c r="H237" s="34">
        <v>3.3730000000000002</v>
      </c>
      <c r="I237" s="1"/>
    </row>
    <row r="238" spans="1:9" ht="105" x14ac:dyDescent="0.25">
      <c r="A238" s="109"/>
      <c r="B238" s="34">
        <v>52</v>
      </c>
      <c r="C238" s="105" t="s">
        <v>1231</v>
      </c>
      <c r="D238" s="40" t="s">
        <v>1312</v>
      </c>
      <c r="E238" s="16" t="s">
        <v>1102</v>
      </c>
      <c r="F238" s="19" t="s">
        <v>1106</v>
      </c>
      <c r="G238" s="34">
        <v>3.5179999999999998</v>
      </c>
      <c r="H238" s="34">
        <v>3.3730000000000002</v>
      </c>
      <c r="I238" s="1"/>
    </row>
    <row r="239" spans="1:9" ht="75" x14ac:dyDescent="0.25">
      <c r="A239" s="109"/>
      <c r="B239" s="34">
        <v>53</v>
      </c>
      <c r="C239" s="105" t="s">
        <v>527</v>
      </c>
      <c r="D239" s="40" t="s">
        <v>1312</v>
      </c>
      <c r="E239" s="16" t="s">
        <v>1102</v>
      </c>
      <c r="F239" s="10" t="s">
        <v>1106</v>
      </c>
      <c r="G239" s="106">
        <v>30</v>
      </c>
      <c r="H239" s="106"/>
      <c r="I239" s="1"/>
    </row>
    <row r="240" spans="1:9" ht="63" x14ac:dyDescent="0.25">
      <c r="A240" s="109"/>
      <c r="B240" s="34">
        <v>54</v>
      </c>
      <c r="C240" s="105" t="s">
        <v>1122</v>
      </c>
      <c r="D240" s="40" t="s">
        <v>1312</v>
      </c>
      <c r="E240" s="16" t="s">
        <v>1102</v>
      </c>
      <c r="F240" s="10" t="s">
        <v>1106</v>
      </c>
      <c r="G240" s="106">
        <v>35</v>
      </c>
      <c r="H240" s="106"/>
      <c r="I240" s="1"/>
    </row>
    <row r="241" spans="1:9" ht="63" x14ac:dyDescent="0.25">
      <c r="A241" s="109"/>
      <c r="B241" s="34">
        <v>55</v>
      </c>
      <c r="C241" s="105" t="s">
        <v>1259</v>
      </c>
      <c r="D241" s="40" t="s">
        <v>1312</v>
      </c>
      <c r="E241" s="16" t="s">
        <v>1102</v>
      </c>
      <c r="F241" s="10" t="s">
        <v>1106</v>
      </c>
      <c r="G241" s="106">
        <v>30</v>
      </c>
      <c r="H241" s="106"/>
      <c r="I241" s="1"/>
    </row>
    <row r="242" spans="1:9" ht="63" x14ac:dyDescent="0.25">
      <c r="A242" s="109"/>
      <c r="B242" s="34">
        <v>56</v>
      </c>
      <c r="C242" s="105" t="s">
        <v>443</v>
      </c>
      <c r="D242" s="40" t="s">
        <v>1310</v>
      </c>
      <c r="E242" s="16" t="s">
        <v>1102</v>
      </c>
      <c r="F242" s="10" t="s">
        <v>1106</v>
      </c>
      <c r="G242" s="106">
        <v>20</v>
      </c>
      <c r="H242" s="106">
        <v>8</v>
      </c>
      <c r="I242" s="1"/>
    </row>
    <row r="243" spans="1:9" ht="75" x14ac:dyDescent="0.25">
      <c r="A243" s="109"/>
      <c r="B243" s="34">
        <v>57</v>
      </c>
      <c r="C243" s="105" t="s">
        <v>456</v>
      </c>
      <c r="D243" s="40" t="s">
        <v>1310</v>
      </c>
      <c r="E243" s="16" t="s">
        <v>1102</v>
      </c>
      <c r="F243" s="10" t="s">
        <v>1106</v>
      </c>
      <c r="G243" s="106">
        <v>20</v>
      </c>
      <c r="H243" s="106">
        <v>8</v>
      </c>
      <c r="I243" s="1"/>
    </row>
    <row r="244" spans="1:9" ht="63" x14ac:dyDescent="0.25">
      <c r="A244" s="109"/>
      <c r="B244" s="34">
        <v>58</v>
      </c>
      <c r="C244" s="105" t="s">
        <v>494</v>
      </c>
      <c r="D244" s="40" t="s">
        <v>1310</v>
      </c>
      <c r="E244" s="16" t="s">
        <v>1102</v>
      </c>
      <c r="F244" s="10" t="s">
        <v>1106</v>
      </c>
      <c r="G244" s="106">
        <v>20</v>
      </c>
      <c r="H244" s="106">
        <v>8</v>
      </c>
      <c r="I244" s="1"/>
    </row>
    <row r="245" spans="1:9" ht="63" x14ac:dyDescent="0.25">
      <c r="A245" s="109"/>
      <c r="B245" s="34">
        <v>59</v>
      </c>
      <c r="C245" s="105" t="s">
        <v>460</v>
      </c>
      <c r="D245" s="40" t="s">
        <v>1334</v>
      </c>
      <c r="E245" s="16" t="s">
        <v>1102</v>
      </c>
      <c r="F245" s="10" t="s">
        <v>1106</v>
      </c>
      <c r="G245" s="106">
        <v>8</v>
      </c>
      <c r="H245" s="106">
        <v>1</v>
      </c>
      <c r="I245" s="1"/>
    </row>
    <row r="246" spans="1:9" ht="90" x14ac:dyDescent="0.25">
      <c r="A246" s="109"/>
      <c r="B246" s="34">
        <v>60</v>
      </c>
      <c r="C246" s="105" t="s">
        <v>522</v>
      </c>
      <c r="D246" s="40" t="s">
        <v>1347</v>
      </c>
      <c r="E246" s="16" t="s">
        <v>1102</v>
      </c>
      <c r="F246" s="10" t="s">
        <v>1106</v>
      </c>
      <c r="G246" s="106"/>
      <c r="H246" s="106">
        <v>32</v>
      </c>
      <c r="I246" s="1"/>
    </row>
    <row r="247" spans="1:9" ht="63" x14ac:dyDescent="0.25">
      <c r="A247" s="109"/>
      <c r="B247" s="34">
        <v>61</v>
      </c>
      <c r="C247" s="105" t="s">
        <v>1288</v>
      </c>
      <c r="D247" s="40" t="s">
        <v>1312</v>
      </c>
      <c r="E247" s="16" t="s">
        <v>1102</v>
      </c>
      <c r="F247" s="10" t="s">
        <v>1106</v>
      </c>
      <c r="G247" s="106">
        <v>5</v>
      </c>
      <c r="H247" s="106"/>
      <c r="I247" s="1"/>
    </row>
    <row r="248" spans="1:9" ht="63" x14ac:dyDescent="0.25">
      <c r="A248" s="109"/>
      <c r="B248" s="34">
        <v>62</v>
      </c>
      <c r="C248" s="105" t="s">
        <v>1287</v>
      </c>
      <c r="D248" s="40" t="s">
        <v>1311</v>
      </c>
      <c r="E248" s="16" t="s">
        <v>1102</v>
      </c>
      <c r="F248" s="10" t="s">
        <v>1106</v>
      </c>
      <c r="G248" s="106">
        <v>5</v>
      </c>
      <c r="H248" s="106">
        <v>3</v>
      </c>
      <c r="I248" s="1"/>
    </row>
    <row r="249" spans="1:9" ht="63" x14ac:dyDescent="0.25">
      <c r="A249" s="109"/>
      <c r="B249" s="34">
        <v>63</v>
      </c>
      <c r="C249" s="105" t="s">
        <v>1235</v>
      </c>
      <c r="D249" s="40" t="s">
        <v>1312</v>
      </c>
      <c r="E249" s="16" t="s">
        <v>1102</v>
      </c>
      <c r="F249" s="10" t="s">
        <v>1106</v>
      </c>
      <c r="G249" s="106">
        <v>50</v>
      </c>
      <c r="H249" s="106"/>
      <c r="I249" s="1"/>
    </row>
    <row r="250" spans="1:9" ht="90" x14ac:dyDescent="0.25">
      <c r="A250" s="109"/>
      <c r="B250" s="34">
        <v>64</v>
      </c>
      <c r="C250" s="105" t="s">
        <v>1242</v>
      </c>
      <c r="D250" s="40" t="s">
        <v>1347</v>
      </c>
      <c r="E250" s="16" t="s">
        <v>1102</v>
      </c>
      <c r="F250" s="10" t="s">
        <v>1106</v>
      </c>
      <c r="G250" s="106"/>
      <c r="H250" s="106">
        <v>32</v>
      </c>
      <c r="I250" s="1"/>
    </row>
    <row r="251" spans="1:9" ht="111.75" customHeight="1" x14ac:dyDescent="0.25">
      <c r="A251" s="109"/>
      <c r="B251" s="34">
        <v>65</v>
      </c>
      <c r="C251" s="105" t="s">
        <v>501</v>
      </c>
      <c r="D251" s="40" t="s">
        <v>1311</v>
      </c>
      <c r="E251" s="16" t="s">
        <v>1102</v>
      </c>
      <c r="F251" s="10" t="s">
        <v>1106</v>
      </c>
      <c r="G251" s="106">
        <v>5</v>
      </c>
      <c r="H251" s="106">
        <v>3</v>
      </c>
      <c r="I251" s="1"/>
    </row>
    <row r="252" spans="1:9" x14ac:dyDescent="0.25">
      <c r="A252" s="110"/>
      <c r="B252" s="34"/>
      <c r="C252" s="95"/>
      <c r="D252" s="40"/>
      <c r="E252" s="41"/>
      <c r="F252" s="34"/>
      <c r="G252" s="106"/>
      <c r="H252" s="106"/>
      <c r="I252" s="1"/>
    </row>
    <row r="253" spans="1:9" ht="63" x14ac:dyDescent="0.25">
      <c r="A253" s="2149" t="s">
        <v>1324</v>
      </c>
      <c r="B253" s="34">
        <v>1</v>
      </c>
      <c r="C253" s="105" t="s">
        <v>443</v>
      </c>
      <c r="D253" s="40" t="s">
        <v>1314</v>
      </c>
      <c r="E253" s="16" t="s">
        <v>1102</v>
      </c>
      <c r="F253" s="10" t="s">
        <v>1106</v>
      </c>
      <c r="G253" s="106">
        <v>20</v>
      </c>
      <c r="H253" s="106">
        <v>8</v>
      </c>
      <c r="I253" s="1"/>
    </row>
    <row r="254" spans="1:9" ht="75" x14ac:dyDescent="0.25">
      <c r="A254" s="2150"/>
      <c r="B254" s="34">
        <v>2</v>
      </c>
      <c r="C254" s="105" t="s">
        <v>456</v>
      </c>
      <c r="D254" s="40" t="s">
        <v>1314</v>
      </c>
      <c r="E254" s="16" t="s">
        <v>1102</v>
      </c>
      <c r="F254" s="10" t="s">
        <v>1106</v>
      </c>
      <c r="G254" s="106">
        <v>20</v>
      </c>
      <c r="H254" s="106">
        <v>8</v>
      </c>
      <c r="I254" s="1"/>
    </row>
    <row r="255" spans="1:9" ht="63" x14ac:dyDescent="0.25">
      <c r="A255" s="2150"/>
      <c r="B255" s="34">
        <v>3</v>
      </c>
      <c r="C255" s="105" t="s">
        <v>494</v>
      </c>
      <c r="D255" s="40" t="s">
        <v>1314</v>
      </c>
      <c r="E255" s="16" t="s">
        <v>1102</v>
      </c>
      <c r="F255" s="10" t="s">
        <v>1106</v>
      </c>
      <c r="G255" s="106">
        <v>20</v>
      </c>
      <c r="H255" s="106">
        <v>8</v>
      </c>
      <c r="I255" s="1"/>
    </row>
    <row r="256" spans="1:9" ht="75.75" customHeight="1" x14ac:dyDescent="0.25">
      <c r="A256" s="2150"/>
      <c r="B256" s="34">
        <v>4</v>
      </c>
      <c r="C256" s="105" t="s">
        <v>460</v>
      </c>
      <c r="D256" s="40" t="s">
        <v>1334</v>
      </c>
      <c r="E256" s="16" t="s">
        <v>1102</v>
      </c>
      <c r="F256" s="10" t="s">
        <v>1106</v>
      </c>
      <c r="G256" s="106">
        <v>8</v>
      </c>
      <c r="H256" s="106">
        <v>1</v>
      </c>
      <c r="I256" s="1"/>
    </row>
    <row r="257" spans="1:9" ht="56.25" customHeight="1" x14ac:dyDescent="0.25">
      <c r="A257" s="2150"/>
      <c r="B257" s="34">
        <v>5</v>
      </c>
      <c r="C257" s="105" t="s">
        <v>1288</v>
      </c>
      <c r="D257" s="40" t="s">
        <v>1312</v>
      </c>
      <c r="E257" s="16" t="s">
        <v>1102</v>
      </c>
      <c r="F257" s="10" t="s">
        <v>1106</v>
      </c>
      <c r="G257" s="106">
        <v>5</v>
      </c>
      <c r="H257" s="106"/>
      <c r="I257" s="1"/>
    </row>
    <row r="258" spans="1:9" ht="79.5" customHeight="1" x14ac:dyDescent="0.25">
      <c r="A258" s="2150"/>
      <c r="B258" s="34">
        <v>6</v>
      </c>
      <c r="C258" s="105" t="s">
        <v>1287</v>
      </c>
      <c r="D258" s="40" t="s">
        <v>1311</v>
      </c>
      <c r="E258" s="16" t="s">
        <v>1102</v>
      </c>
      <c r="F258" s="10" t="s">
        <v>1106</v>
      </c>
      <c r="G258" s="106">
        <v>5</v>
      </c>
      <c r="H258" s="106">
        <v>3</v>
      </c>
      <c r="I258" s="1"/>
    </row>
    <row r="259" spans="1:9" ht="103.5" customHeight="1" x14ac:dyDescent="0.25">
      <c r="A259" s="2150"/>
      <c r="B259" s="34">
        <v>7</v>
      </c>
      <c r="C259" s="105" t="s">
        <v>501</v>
      </c>
      <c r="D259" s="40" t="s">
        <v>1311</v>
      </c>
      <c r="E259" s="16" t="s">
        <v>1102</v>
      </c>
      <c r="F259" s="10" t="s">
        <v>1106</v>
      </c>
      <c r="G259" s="106">
        <v>5</v>
      </c>
      <c r="H259" s="106">
        <v>3</v>
      </c>
      <c r="I259" s="1"/>
    </row>
    <row r="260" spans="1:9" x14ac:dyDescent="0.25">
      <c r="A260" s="2151"/>
      <c r="B260" s="34"/>
      <c r="C260" s="105"/>
      <c r="D260" s="40"/>
      <c r="E260" s="41"/>
      <c r="F260" s="34"/>
      <c r="G260" s="106"/>
      <c r="H260" s="106"/>
      <c r="I260" s="1"/>
    </row>
    <row r="261" spans="1:9" ht="67.5" customHeight="1" x14ac:dyDescent="0.25">
      <c r="A261" s="100" t="s">
        <v>1325</v>
      </c>
      <c r="B261" s="34">
        <v>1</v>
      </c>
      <c r="C261" s="105" t="s">
        <v>884</v>
      </c>
      <c r="D261" s="40" t="s">
        <v>1312</v>
      </c>
      <c r="E261" s="16" t="s">
        <v>1102</v>
      </c>
      <c r="F261" s="19" t="s">
        <v>1138</v>
      </c>
      <c r="G261" s="34">
        <v>3.5179999999999998</v>
      </c>
      <c r="H261" s="34">
        <v>3.3730000000000002</v>
      </c>
      <c r="I261" s="1"/>
    </row>
    <row r="262" spans="1:9" ht="90" x14ac:dyDescent="0.25">
      <c r="A262" s="109"/>
      <c r="B262" s="34">
        <v>2</v>
      </c>
      <c r="C262" s="101" t="s">
        <v>889</v>
      </c>
      <c r="D262" s="40" t="s">
        <v>1312</v>
      </c>
      <c r="E262" s="16" t="s">
        <v>1102</v>
      </c>
      <c r="F262" s="19" t="s">
        <v>1138</v>
      </c>
      <c r="G262" s="34">
        <v>3.5179999999999998</v>
      </c>
      <c r="H262" s="34">
        <v>3.3730000000000002</v>
      </c>
      <c r="I262" s="1"/>
    </row>
    <row r="263" spans="1:9" ht="63" x14ac:dyDescent="0.25">
      <c r="A263" s="109"/>
      <c r="B263" s="34">
        <v>3</v>
      </c>
      <c r="C263" s="101" t="s">
        <v>900</v>
      </c>
      <c r="D263" s="40" t="s">
        <v>1312</v>
      </c>
      <c r="E263" s="16" t="s">
        <v>1102</v>
      </c>
      <c r="F263" s="19" t="s">
        <v>1138</v>
      </c>
      <c r="G263" s="34">
        <v>3.5179999999999998</v>
      </c>
      <c r="H263" s="34">
        <v>3.3730000000000002</v>
      </c>
      <c r="I263" s="1"/>
    </row>
    <row r="264" spans="1:9" ht="90" x14ac:dyDescent="0.25">
      <c r="A264" s="109"/>
      <c r="B264" s="34">
        <v>4</v>
      </c>
      <c r="C264" s="105" t="s">
        <v>1227</v>
      </c>
      <c r="D264" s="40" t="s">
        <v>1312</v>
      </c>
      <c r="E264" s="16" t="s">
        <v>1102</v>
      </c>
      <c r="F264" s="19" t="s">
        <v>1147</v>
      </c>
      <c r="G264" s="34">
        <v>3.5179999999999998</v>
      </c>
      <c r="H264" s="34">
        <v>3.3730000000000002</v>
      </c>
      <c r="I264" s="1"/>
    </row>
    <row r="265" spans="1:9" ht="75" x14ac:dyDescent="0.25">
      <c r="A265" s="109"/>
      <c r="B265" s="34">
        <v>5</v>
      </c>
      <c r="C265" s="105" t="s">
        <v>1258</v>
      </c>
      <c r="D265" s="40" t="s">
        <v>1312</v>
      </c>
      <c r="E265" s="16" t="s">
        <v>1102</v>
      </c>
      <c r="F265" s="19" t="s">
        <v>1147</v>
      </c>
      <c r="G265" s="34">
        <v>3.5179999999999998</v>
      </c>
      <c r="H265" s="34">
        <v>3.3730000000000002</v>
      </c>
      <c r="I265" s="1"/>
    </row>
    <row r="266" spans="1:9" ht="75" x14ac:dyDescent="0.25">
      <c r="A266" s="109"/>
      <c r="B266" s="34">
        <v>6</v>
      </c>
      <c r="C266" s="105" t="s">
        <v>1167</v>
      </c>
      <c r="D266" s="40" t="s">
        <v>1312</v>
      </c>
      <c r="E266" s="16" t="s">
        <v>1102</v>
      </c>
      <c r="F266" s="19" t="s">
        <v>1106</v>
      </c>
      <c r="G266" s="34">
        <v>3.5179999999999998</v>
      </c>
      <c r="H266" s="34">
        <v>3.3730000000000002</v>
      </c>
      <c r="I266" s="1"/>
    </row>
    <row r="267" spans="1:9" x14ac:dyDescent="0.25">
      <c r="A267" s="110"/>
      <c r="B267" s="34"/>
      <c r="C267" s="101"/>
      <c r="D267" s="40"/>
      <c r="E267" s="41"/>
      <c r="F267" s="34"/>
      <c r="G267" s="106"/>
      <c r="H267" s="106"/>
      <c r="I267" s="1"/>
    </row>
    <row r="268" spans="1:9" ht="30" x14ac:dyDescent="0.25">
      <c r="A268" s="103" t="s">
        <v>1326</v>
      </c>
      <c r="B268" s="34"/>
      <c r="C268" s="95"/>
      <c r="D268" s="40"/>
      <c r="E268" s="41"/>
      <c r="F268" s="34"/>
      <c r="G268" s="106"/>
      <c r="H268" s="106"/>
      <c r="I268" s="1"/>
    </row>
    <row r="269" spans="1:9" ht="30" x14ac:dyDescent="0.25">
      <c r="A269" s="103" t="s">
        <v>1327</v>
      </c>
      <c r="B269" s="34"/>
      <c r="C269" s="95"/>
      <c r="D269" s="40"/>
      <c r="E269" s="41"/>
      <c r="F269" s="34"/>
      <c r="G269" s="106"/>
      <c r="H269" s="106"/>
      <c r="I269" s="1"/>
    </row>
    <row r="270" spans="1:9" ht="97.5" customHeight="1" x14ac:dyDescent="0.25">
      <c r="A270" s="2149" t="s">
        <v>1328</v>
      </c>
      <c r="B270" s="34">
        <v>1</v>
      </c>
      <c r="C270" s="105" t="s">
        <v>1232</v>
      </c>
      <c r="D270" s="40" t="s">
        <v>1312</v>
      </c>
      <c r="E270" s="16" t="s">
        <v>1102</v>
      </c>
      <c r="F270" s="19" t="s">
        <v>1147</v>
      </c>
      <c r="G270" s="34">
        <v>3.5179999999999998</v>
      </c>
      <c r="H270" s="34">
        <v>3.3730000000000002</v>
      </c>
      <c r="I270" s="1"/>
    </row>
    <row r="271" spans="1:9" ht="79.5" customHeight="1" x14ac:dyDescent="0.25">
      <c r="A271" s="2150"/>
      <c r="B271" s="34">
        <v>2</v>
      </c>
      <c r="C271" s="101" t="s">
        <v>1233</v>
      </c>
      <c r="D271" s="40" t="s">
        <v>1312</v>
      </c>
      <c r="E271" s="16" t="s">
        <v>1102</v>
      </c>
      <c r="F271" s="19" t="s">
        <v>1147</v>
      </c>
      <c r="G271" s="34">
        <v>3.5179999999999998</v>
      </c>
      <c r="H271" s="34">
        <v>3.3730000000000002</v>
      </c>
      <c r="I271" s="1"/>
    </row>
    <row r="272" spans="1:9" ht="105" x14ac:dyDescent="0.25">
      <c r="A272" s="2150"/>
      <c r="B272" s="34">
        <v>3</v>
      </c>
      <c r="C272" s="101" t="s">
        <v>1227</v>
      </c>
      <c r="D272" s="40" t="s">
        <v>1312</v>
      </c>
      <c r="E272" s="16" t="s">
        <v>1102</v>
      </c>
      <c r="F272" s="19" t="s">
        <v>1147</v>
      </c>
      <c r="G272" s="34">
        <v>3.5179999999999998</v>
      </c>
      <c r="H272" s="34">
        <v>3.3730000000000002</v>
      </c>
      <c r="I272" s="1"/>
    </row>
    <row r="273" spans="1:9" ht="63" x14ac:dyDescent="0.25">
      <c r="A273" s="2150"/>
      <c r="B273" s="34">
        <v>4</v>
      </c>
      <c r="C273" s="101" t="s">
        <v>838</v>
      </c>
      <c r="D273" s="40" t="s">
        <v>1312</v>
      </c>
      <c r="E273" s="16" t="s">
        <v>1102</v>
      </c>
      <c r="F273" s="19" t="s">
        <v>1195</v>
      </c>
      <c r="G273" s="34">
        <v>3.5179999999999998</v>
      </c>
      <c r="H273" s="34">
        <v>3.3730000000000002</v>
      </c>
      <c r="I273" s="1"/>
    </row>
    <row r="274" spans="1:9" x14ac:dyDescent="0.25">
      <c r="A274" s="2151"/>
      <c r="B274" s="34"/>
      <c r="C274" s="101"/>
      <c r="D274" s="40"/>
      <c r="E274" s="41"/>
      <c r="F274" s="34"/>
      <c r="G274" s="106"/>
      <c r="H274" s="106"/>
      <c r="I274" s="1"/>
    </row>
    <row r="275" spans="1:9" ht="75" x14ac:dyDescent="0.25">
      <c r="A275" s="100" t="s">
        <v>1329</v>
      </c>
      <c r="B275" s="34">
        <v>1</v>
      </c>
      <c r="C275" s="105" t="s">
        <v>330</v>
      </c>
      <c r="D275" s="40" t="s">
        <v>1312</v>
      </c>
      <c r="E275" s="16" t="s">
        <v>1102</v>
      </c>
      <c r="F275" s="19" t="s">
        <v>1147</v>
      </c>
      <c r="G275" s="10">
        <v>3.5179999999999998</v>
      </c>
      <c r="H275" s="10">
        <v>3.3730000000000002</v>
      </c>
      <c r="I275" s="1"/>
    </row>
    <row r="276" spans="1:9" ht="75" x14ac:dyDescent="0.25">
      <c r="A276" s="109"/>
      <c r="B276" s="34">
        <v>2</v>
      </c>
      <c r="C276" s="108" t="s">
        <v>1182</v>
      </c>
      <c r="D276" s="40" t="s">
        <v>1312</v>
      </c>
      <c r="E276" s="16" t="s">
        <v>1102</v>
      </c>
      <c r="F276" s="19" t="s">
        <v>1147</v>
      </c>
      <c r="G276" s="10">
        <v>3.5179999999999998</v>
      </c>
      <c r="H276" s="10">
        <v>3.3730000000000002</v>
      </c>
      <c r="I276" s="1"/>
    </row>
    <row r="277" spans="1:9" ht="84" customHeight="1" x14ac:dyDescent="0.25">
      <c r="A277" s="109"/>
      <c r="B277" s="34">
        <v>3</v>
      </c>
      <c r="C277" s="101" t="s">
        <v>1243</v>
      </c>
      <c r="D277" s="40" t="s">
        <v>1314</v>
      </c>
      <c r="E277" s="16" t="s">
        <v>1102</v>
      </c>
      <c r="F277" s="19" t="s">
        <v>1147</v>
      </c>
      <c r="G277" s="10">
        <v>20</v>
      </c>
      <c r="H277" s="10">
        <v>8</v>
      </c>
      <c r="I277" s="1"/>
    </row>
    <row r="278" spans="1:9" ht="105.75" customHeight="1" x14ac:dyDescent="0.25">
      <c r="A278" s="109"/>
      <c r="B278" s="34">
        <v>4</v>
      </c>
      <c r="C278" s="101" t="s">
        <v>312</v>
      </c>
      <c r="D278" s="40" t="s">
        <v>1312</v>
      </c>
      <c r="E278" s="16" t="s">
        <v>1102</v>
      </c>
      <c r="F278" s="19" t="s">
        <v>1151</v>
      </c>
      <c r="G278" s="10">
        <v>3.5179999999999998</v>
      </c>
      <c r="H278" s="10">
        <v>3.3730000000000002</v>
      </c>
      <c r="I278" s="1"/>
    </row>
    <row r="279" spans="1:9" ht="63" x14ac:dyDescent="0.25">
      <c r="A279" s="109"/>
      <c r="B279" s="34">
        <v>5</v>
      </c>
      <c r="C279" s="101" t="s">
        <v>363</v>
      </c>
      <c r="D279" s="40" t="s">
        <v>1314</v>
      </c>
      <c r="E279" s="16" t="s">
        <v>1102</v>
      </c>
      <c r="F279" s="19" t="s">
        <v>1106</v>
      </c>
      <c r="G279" s="10">
        <v>3.5179999999999998</v>
      </c>
      <c r="H279" s="10">
        <v>3.3730000000000002</v>
      </c>
      <c r="I279" s="1"/>
    </row>
    <row r="280" spans="1:9" ht="105" x14ac:dyDescent="0.25">
      <c r="A280" s="109"/>
      <c r="B280" s="34">
        <v>6</v>
      </c>
      <c r="C280" s="101" t="s">
        <v>381</v>
      </c>
      <c r="D280" s="40" t="s">
        <v>1314</v>
      </c>
      <c r="E280" s="16" t="s">
        <v>1102</v>
      </c>
      <c r="F280" s="19" t="s">
        <v>1152</v>
      </c>
      <c r="G280" s="10">
        <v>3.5179999999999998</v>
      </c>
      <c r="H280" s="10">
        <v>3.3730000000000002</v>
      </c>
      <c r="I280" s="1"/>
    </row>
    <row r="281" spans="1:9" ht="63" x14ac:dyDescent="0.25">
      <c r="A281" s="109"/>
      <c r="B281" s="34">
        <v>7</v>
      </c>
      <c r="C281" s="101" t="s">
        <v>386</v>
      </c>
      <c r="D281" s="40" t="s">
        <v>1314</v>
      </c>
      <c r="E281" s="16" t="s">
        <v>1102</v>
      </c>
      <c r="F281" s="19" t="s">
        <v>1153</v>
      </c>
      <c r="G281" s="10">
        <v>3.5179999999999998</v>
      </c>
      <c r="H281" s="10">
        <v>3.3730000000000002</v>
      </c>
      <c r="I281" s="1"/>
    </row>
    <row r="282" spans="1:9" ht="63" x14ac:dyDescent="0.25">
      <c r="A282" s="109"/>
      <c r="B282" s="34">
        <v>8</v>
      </c>
      <c r="C282" s="101" t="s">
        <v>569</v>
      </c>
      <c r="D282" s="40" t="s">
        <v>1314</v>
      </c>
      <c r="E282" s="16" t="s">
        <v>1102</v>
      </c>
      <c r="F282" s="19" t="s">
        <v>1106</v>
      </c>
      <c r="G282" s="10">
        <v>3.5179999999999998</v>
      </c>
      <c r="H282" s="10">
        <v>3.3730000000000002</v>
      </c>
      <c r="I282" s="1"/>
    </row>
    <row r="283" spans="1:9" ht="63" x14ac:dyDescent="0.25">
      <c r="A283" s="109"/>
      <c r="B283" s="34">
        <v>9</v>
      </c>
      <c r="C283" s="101" t="s">
        <v>411</v>
      </c>
      <c r="D283" s="40" t="s">
        <v>1314</v>
      </c>
      <c r="E283" s="16" t="s">
        <v>1102</v>
      </c>
      <c r="F283" s="19" t="s">
        <v>1106</v>
      </c>
      <c r="G283" s="10">
        <v>3.5179999999999998</v>
      </c>
      <c r="H283" s="10">
        <v>3.3730000000000002</v>
      </c>
      <c r="I283" s="1"/>
    </row>
    <row r="284" spans="1:9" ht="63" x14ac:dyDescent="0.25">
      <c r="A284" s="109"/>
      <c r="B284" s="34">
        <v>10</v>
      </c>
      <c r="C284" s="101" t="s">
        <v>413</v>
      </c>
      <c r="D284" s="40" t="s">
        <v>1314</v>
      </c>
      <c r="E284" s="16" t="s">
        <v>1102</v>
      </c>
      <c r="F284" s="19" t="s">
        <v>1106</v>
      </c>
      <c r="G284" s="10">
        <v>3.5179999999999998</v>
      </c>
      <c r="H284" s="10">
        <v>3.3730000000000002</v>
      </c>
      <c r="I284" s="1"/>
    </row>
    <row r="285" spans="1:9" ht="63" x14ac:dyDescent="0.25">
      <c r="A285" s="109"/>
      <c r="B285" s="34">
        <v>11</v>
      </c>
      <c r="C285" s="101" t="s">
        <v>415</v>
      </c>
      <c r="D285" s="40" t="s">
        <v>1314</v>
      </c>
      <c r="E285" s="16" t="s">
        <v>1102</v>
      </c>
      <c r="F285" s="19" t="s">
        <v>1106</v>
      </c>
      <c r="G285" s="10">
        <v>3.5179999999999998</v>
      </c>
      <c r="H285" s="10">
        <v>3.3730000000000002</v>
      </c>
      <c r="I285" s="1"/>
    </row>
    <row r="286" spans="1:9" ht="90" x14ac:dyDescent="0.25">
      <c r="A286" s="109"/>
      <c r="B286" s="34">
        <v>12</v>
      </c>
      <c r="C286" s="101" t="s">
        <v>396</v>
      </c>
      <c r="D286" s="40" t="s">
        <v>1314</v>
      </c>
      <c r="E286" s="16" t="s">
        <v>1102</v>
      </c>
      <c r="F286" s="22" t="s">
        <v>1106</v>
      </c>
      <c r="G286" s="10">
        <v>3.5179999999999998</v>
      </c>
      <c r="H286" s="10">
        <v>3.3730000000000002</v>
      </c>
      <c r="I286" s="1"/>
    </row>
    <row r="287" spans="1:9" ht="75" x14ac:dyDescent="0.25">
      <c r="A287" s="109"/>
      <c r="B287" s="34">
        <v>13</v>
      </c>
      <c r="C287" s="105" t="s">
        <v>904</v>
      </c>
      <c r="D287" s="40" t="s">
        <v>1312</v>
      </c>
      <c r="E287" s="16" t="s">
        <v>1102</v>
      </c>
      <c r="F287" s="22" t="s">
        <v>1106</v>
      </c>
      <c r="G287" s="10">
        <v>3.5179999999999998</v>
      </c>
      <c r="H287" s="10">
        <v>3.3730000000000002</v>
      </c>
      <c r="I287" s="1"/>
    </row>
    <row r="288" spans="1:9" ht="120" x14ac:dyDescent="0.25">
      <c r="A288" s="109"/>
      <c r="B288" s="34">
        <v>14</v>
      </c>
      <c r="C288" s="105" t="s">
        <v>913</v>
      </c>
      <c r="D288" s="40" t="s">
        <v>1312</v>
      </c>
      <c r="E288" s="16" t="s">
        <v>1102</v>
      </c>
      <c r="F288" s="19" t="s">
        <v>1106</v>
      </c>
      <c r="G288" s="34">
        <v>3.5179999999999998</v>
      </c>
      <c r="H288" s="34">
        <v>3.3730000000000002</v>
      </c>
      <c r="I288" s="1"/>
    </row>
    <row r="289" spans="1:9" ht="120" x14ac:dyDescent="0.25">
      <c r="A289" s="109"/>
      <c r="B289" s="34">
        <v>15</v>
      </c>
      <c r="C289" s="105" t="s">
        <v>920</v>
      </c>
      <c r="D289" s="40" t="s">
        <v>1312</v>
      </c>
      <c r="E289" s="16" t="s">
        <v>1102</v>
      </c>
      <c r="F289" s="19" t="s">
        <v>1106</v>
      </c>
      <c r="G289" s="34">
        <v>3.5179999999999998</v>
      </c>
      <c r="H289" s="34">
        <v>3.3730000000000002</v>
      </c>
      <c r="I289" s="1"/>
    </row>
    <row r="290" spans="1:9" ht="120" customHeight="1" x14ac:dyDescent="0.25">
      <c r="A290" s="109"/>
      <c r="B290" s="34">
        <v>16</v>
      </c>
      <c r="C290" s="105" t="s">
        <v>924</v>
      </c>
      <c r="D290" s="40" t="s">
        <v>1350</v>
      </c>
      <c r="E290" s="16" t="s">
        <v>1102</v>
      </c>
      <c r="F290" s="19" t="s">
        <v>1106</v>
      </c>
      <c r="G290" s="34">
        <v>35</v>
      </c>
      <c r="H290" s="34"/>
      <c r="I290" s="1"/>
    </row>
    <row r="291" spans="1:9" ht="105" x14ac:dyDescent="0.25">
      <c r="A291" s="109"/>
      <c r="B291" s="34">
        <v>17</v>
      </c>
      <c r="C291" s="105" t="s">
        <v>927</v>
      </c>
      <c r="D291" s="40" t="s">
        <v>1346</v>
      </c>
      <c r="E291" s="16" t="s">
        <v>1102</v>
      </c>
      <c r="F291" s="19" t="s">
        <v>1138</v>
      </c>
      <c r="G291" s="34">
        <v>35</v>
      </c>
      <c r="H291" s="34"/>
      <c r="I291" s="1"/>
    </row>
    <row r="292" spans="1:9" ht="77.25" customHeight="1" x14ac:dyDescent="0.25">
      <c r="A292" s="109"/>
      <c r="B292" s="34">
        <v>18</v>
      </c>
      <c r="C292" s="105" t="s">
        <v>1120</v>
      </c>
      <c r="D292" s="40" t="s">
        <v>1312</v>
      </c>
      <c r="E292" s="16" t="s">
        <v>1102</v>
      </c>
      <c r="F292" s="19" t="s">
        <v>1138</v>
      </c>
      <c r="G292" s="34">
        <v>3.5179999999999998</v>
      </c>
      <c r="H292" s="34">
        <v>3.3730000000000002</v>
      </c>
      <c r="I292" s="1"/>
    </row>
    <row r="293" spans="1:9" ht="63" x14ac:dyDescent="0.25">
      <c r="A293" s="109"/>
      <c r="B293" s="34">
        <v>19</v>
      </c>
      <c r="C293" s="105" t="s">
        <v>938</v>
      </c>
      <c r="D293" s="40" t="s">
        <v>1347</v>
      </c>
      <c r="E293" s="16" t="s">
        <v>1102</v>
      </c>
      <c r="F293" s="19" t="s">
        <v>1106</v>
      </c>
      <c r="G293" s="34"/>
      <c r="H293" s="34">
        <v>29</v>
      </c>
      <c r="I293" s="1"/>
    </row>
    <row r="294" spans="1:9" ht="75" x14ac:dyDescent="0.25">
      <c r="A294" s="109"/>
      <c r="B294" s="34">
        <v>20</v>
      </c>
      <c r="C294" s="105" t="s">
        <v>996</v>
      </c>
      <c r="D294" s="40" t="s">
        <v>1314</v>
      </c>
      <c r="E294" s="16" t="s">
        <v>1102</v>
      </c>
      <c r="F294" s="19" t="s">
        <v>1106</v>
      </c>
      <c r="G294" s="34">
        <v>20</v>
      </c>
      <c r="H294" s="34">
        <v>8</v>
      </c>
      <c r="I294" s="1"/>
    </row>
    <row r="295" spans="1:9" ht="63" x14ac:dyDescent="0.25">
      <c r="A295" s="109"/>
      <c r="B295" s="34">
        <v>21</v>
      </c>
      <c r="C295" s="105" t="s">
        <v>956</v>
      </c>
      <c r="D295" s="40" t="s">
        <v>1314</v>
      </c>
      <c r="E295" s="16" t="s">
        <v>1102</v>
      </c>
      <c r="F295" s="19" t="s">
        <v>1106</v>
      </c>
      <c r="G295" s="34">
        <v>20</v>
      </c>
      <c r="H295" s="34">
        <v>8</v>
      </c>
      <c r="I295" s="1"/>
    </row>
    <row r="296" spans="1:9" ht="63" x14ac:dyDescent="0.25">
      <c r="A296" s="109"/>
      <c r="B296" s="34">
        <v>22</v>
      </c>
      <c r="C296" s="105" t="s">
        <v>966</v>
      </c>
      <c r="D296" s="40" t="s">
        <v>1314</v>
      </c>
      <c r="E296" s="16" t="s">
        <v>1102</v>
      </c>
      <c r="F296" s="19" t="s">
        <v>1106</v>
      </c>
      <c r="G296" s="34">
        <v>20</v>
      </c>
      <c r="H296" s="34">
        <v>8</v>
      </c>
      <c r="I296" s="1"/>
    </row>
    <row r="297" spans="1:9" ht="63" x14ac:dyDescent="0.25">
      <c r="A297" s="109"/>
      <c r="B297" s="34">
        <v>23</v>
      </c>
      <c r="C297" s="105" t="s">
        <v>1121</v>
      </c>
      <c r="D297" s="40" t="s">
        <v>1312</v>
      </c>
      <c r="E297" s="16" t="s">
        <v>1102</v>
      </c>
      <c r="F297" s="19" t="s">
        <v>1106</v>
      </c>
      <c r="G297" s="34">
        <v>3.5179999999999998</v>
      </c>
      <c r="H297" s="34">
        <v>3.3730000000000002</v>
      </c>
      <c r="I297" s="1"/>
    </row>
    <row r="298" spans="1:9" ht="63" x14ac:dyDescent="0.25">
      <c r="A298" s="109"/>
      <c r="B298" s="34">
        <v>24</v>
      </c>
      <c r="C298" s="105" t="s">
        <v>970</v>
      </c>
      <c r="D298" s="40" t="s">
        <v>1312</v>
      </c>
      <c r="E298" s="16" t="s">
        <v>1102</v>
      </c>
      <c r="F298" s="19" t="s">
        <v>1106</v>
      </c>
      <c r="G298" s="34">
        <v>3.5179999999999998</v>
      </c>
      <c r="H298" s="34">
        <v>3.3730000000000002</v>
      </c>
      <c r="I298" s="1"/>
    </row>
    <row r="299" spans="1:9" ht="63" x14ac:dyDescent="0.25">
      <c r="A299" s="109"/>
      <c r="B299" s="34">
        <v>25</v>
      </c>
      <c r="C299" s="105" t="s">
        <v>978</v>
      </c>
      <c r="D299" s="40" t="s">
        <v>1312</v>
      </c>
      <c r="E299" s="16" t="s">
        <v>1102</v>
      </c>
      <c r="F299" s="19" t="s">
        <v>1106</v>
      </c>
      <c r="G299" s="34">
        <v>3.5179999999999998</v>
      </c>
      <c r="H299" s="34">
        <v>3.3730000000000002</v>
      </c>
      <c r="I299" s="1"/>
    </row>
    <row r="300" spans="1:9" ht="241.5" customHeight="1" x14ac:dyDescent="0.25">
      <c r="A300" s="109"/>
      <c r="B300" s="34">
        <v>26</v>
      </c>
      <c r="C300" s="105" t="s">
        <v>1124</v>
      </c>
      <c r="D300" s="40" t="s">
        <v>1312</v>
      </c>
      <c r="E300" s="16" t="s">
        <v>1102</v>
      </c>
      <c r="F300" s="19" t="s">
        <v>1106</v>
      </c>
      <c r="G300" s="34">
        <v>3.5179999999999998</v>
      </c>
      <c r="H300" s="34">
        <v>3.3730000000000002</v>
      </c>
      <c r="I300" s="1"/>
    </row>
    <row r="301" spans="1:9" ht="241.5" customHeight="1" x14ac:dyDescent="0.25">
      <c r="A301" s="109"/>
      <c r="B301" s="34">
        <v>27</v>
      </c>
      <c r="C301" s="105" t="e">
        <f>#REF!</f>
        <v>#REF!</v>
      </c>
      <c r="D301" s="40" t="s">
        <v>1312</v>
      </c>
      <c r="E301" s="16" t="s">
        <v>1102</v>
      </c>
      <c r="F301" s="19" t="s">
        <v>1106</v>
      </c>
      <c r="G301" s="34">
        <v>3.5179999999999998</v>
      </c>
      <c r="H301" s="34">
        <v>3.3730000000000002</v>
      </c>
      <c r="I301" s="1"/>
    </row>
    <row r="302" spans="1:9" ht="63" x14ac:dyDescent="0.25">
      <c r="A302" s="109"/>
      <c r="B302" s="34">
        <v>28</v>
      </c>
      <c r="C302" s="105" t="s">
        <v>987</v>
      </c>
      <c r="D302" s="40" t="s">
        <v>1312</v>
      </c>
      <c r="E302" s="16" t="s">
        <v>1102</v>
      </c>
      <c r="F302" s="19" t="s">
        <v>1106</v>
      </c>
      <c r="G302" s="34">
        <v>3.5179999999999998</v>
      </c>
      <c r="H302" s="34">
        <v>3.3730000000000002</v>
      </c>
      <c r="I302" s="1"/>
    </row>
    <row r="303" spans="1:9" ht="75" x14ac:dyDescent="0.25">
      <c r="A303" s="109"/>
      <c r="B303" s="34">
        <v>29</v>
      </c>
      <c r="C303" s="105" t="s">
        <v>998</v>
      </c>
      <c r="D303" s="40" t="s">
        <v>1348</v>
      </c>
      <c r="E303" s="16" t="s">
        <v>1102</v>
      </c>
      <c r="F303" s="19" t="s">
        <v>1106</v>
      </c>
      <c r="G303" s="34">
        <v>13</v>
      </c>
      <c r="H303" s="34">
        <v>4</v>
      </c>
      <c r="I303" s="1"/>
    </row>
    <row r="304" spans="1:9" ht="63" x14ac:dyDescent="0.25">
      <c r="A304" s="109"/>
      <c r="B304" s="34">
        <v>30</v>
      </c>
      <c r="C304" s="105" t="s">
        <v>1162</v>
      </c>
      <c r="D304" s="40" t="s">
        <v>1348</v>
      </c>
      <c r="E304" s="16" t="s">
        <v>1102</v>
      </c>
      <c r="F304" s="19" t="s">
        <v>1106</v>
      </c>
      <c r="G304" s="34">
        <v>13</v>
      </c>
      <c r="H304" s="34">
        <v>4</v>
      </c>
      <c r="I304" s="1"/>
    </row>
    <row r="305" spans="1:9" ht="75" x14ac:dyDescent="0.25">
      <c r="A305" s="109"/>
      <c r="B305" s="34">
        <v>31</v>
      </c>
      <c r="C305" s="101" t="s">
        <v>1014</v>
      </c>
      <c r="D305" s="40" t="s">
        <v>1312</v>
      </c>
      <c r="E305" s="16" t="s">
        <v>1102</v>
      </c>
      <c r="F305" s="19" t="s">
        <v>1106</v>
      </c>
      <c r="G305" s="34">
        <v>3.5179999999999998</v>
      </c>
      <c r="H305" s="34">
        <v>3.3730000000000002</v>
      </c>
      <c r="I305" s="1"/>
    </row>
    <row r="306" spans="1:9" ht="105" x14ac:dyDescent="0.25">
      <c r="A306" s="109"/>
      <c r="B306" s="34">
        <v>32</v>
      </c>
      <c r="C306" s="101" t="s">
        <v>1040</v>
      </c>
      <c r="D306" s="40" t="s">
        <v>1312</v>
      </c>
      <c r="E306" s="16" t="s">
        <v>1102</v>
      </c>
      <c r="F306" s="19" t="s">
        <v>1106</v>
      </c>
      <c r="G306" s="34">
        <v>3.5179999999999998</v>
      </c>
      <c r="H306" s="34">
        <v>3.3730000000000002</v>
      </c>
      <c r="I306" s="1"/>
    </row>
    <row r="307" spans="1:9" ht="90" x14ac:dyDescent="0.25">
      <c r="A307" s="109"/>
      <c r="B307" s="34">
        <v>33</v>
      </c>
      <c r="C307" s="101" t="s">
        <v>1051</v>
      </c>
      <c r="D307" s="40" t="s">
        <v>1312</v>
      </c>
      <c r="E307" s="16" t="s">
        <v>1102</v>
      </c>
      <c r="F307" s="19" t="s">
        <v>1106</v>
      </c>
      <c r="G307" s="34">
        <v>3.5179999999999998</v>
      </c>
      <c r="H307" s="34">
        <v>3.3730000000000002</v>
      </c>
      <c r="I307" s="1"/>
    </row>
    <row r="308" spans="1:9" ht="90" x14ac:dyDescent="0.25">
      <c r="A308" s="109"/>
      <c r="B308" s="34">
        <v>34</v>
      </c>
      <c r="C308" s="101" t="s">
        <v>1057</v>
      </c>
      <c r="D308" s="40" t="s">
        <v>1312</v>
      </c>
      <c r="E308" s="16" t="s">
        <v>1102</v>
      </c>
      <c r="F308" s="19" t="s">
        <v>1106</v>
      </c>
      <c r="G308" s="34">
        <v>3.5179999999999998</v>
      </c>
      <c r="H308" s="34">
        <v>3.3730000000000002</v>
      </c>
      <c r="I308" s="1"/>
    </row>
    <row r="309" spans="1:9" ht="105" x14ac:dyDescent="0.25">
      <c r="A309" s="109"/>
      <c r="B309" s="34">
        <v>35</v>
      </c>
      <c r="C309" s="101" t="s">
        <v>1231</v>
      </c>
      <c r="D309" s="40" t="s">
        <v>1312</v>
      </c>
      <c r="E309" s="16" t="s">
        <v>1102</v>
      </c>
      <c r="F309" s="19" t="s">
        <v>1106</v>
      </c>
      <c r="G309" s="34">
        <v>3.5179999999999998</v>
      </c>
      <c r="H309" s="34">
        <v>3.3730000000000002</v>
      </c>
      <c r="I309" s="1"/>
    </row>
    <row r="310" spans="1:9" ht="63" x14ac:dyDescent="0.25">
      <c r="A310" s="109"/>
      <c r="B310" s="34">
        <v>36</v>
      </c>
      <c r="C310" s="101" t="s">
        <v>443</v>
      </c>
      <c r="D310" s="40" t="s">
        <v>1314</v>
      </c>
      <c r="E310" s="16" t="s">
        <v>1102</v>
      </c>
      <c r="F310" s="19" t="s">
        <v>1106</v>
      </c>
      <c r="G310" s="34">
        <v>20</v>
      </c>
      <c r="H310" s="34">
        <v>8</v>
      </c>
      <c r="I310" s="1"/>
    </row>
    <row r="311" spans="1:9" ht="75" x14ac:dyDescent="0.25">
      <c r="A311" s="109"/>
      <c r="B311" s="34">
        <v>37</v>
      </c>
      <c r="C311" s="101" t="s">
        <v>456</v>
      </c>
      <c r="D311" s="40" t="s">
        <v>1314</v>
      </c>
      <c r="E311" s="16" t="s">
        <v>1102</v>
      </c>
      <c r="F311" s="19" t="s">
        <v>1106</v>
      </c>
      <c r="G311" s="34">
        <v>20</v>
      </c>
      <c r="H311" s="34">
        <v>8</v>
      </c>
      <c r="I311" s="1"/>
    </row>
    <row r="312" spans="1:9" ht="63" x14ac:dyDescent="0.25">
      <c r="A312" s="109"/>
      <c r="B312" s="34">
        <v>38</v>
      </c>
      <c r="C312" s="101" t="s">
        <v>494</v>
      </c>
      <c r="D312" s="40" t="s">
        <v>1314</v>
      </c>
      <c r="E312" s="16" t="s">
        <v>1102</v>
      </c>
      <c r="F312" s="19" t="s">
        <v>1106</v>
      </c>
      <c r="G312" s="34">
        <v>20</v>
      </c>
      <c r="H312" s="34">
        <v>8</v>
      </c>
      <c r="I312" s="1"/>
    </row>
    <row r="313" spans="1:9" ht="63" x14ac:dyDescent="0.25">
      <c r="A313" s="109"/>
      <c r="B313" s="34">
        <v>39</v>
      </c>
      <c r="C313" s="101" t="s">
        <v>460</v>
      </c>
      <c r="D313" s="40" t="s">
        <v>1334</v>
      </c>
      <c r="E313" s="16" t="s">
        <v>1102</v>
      </c>
      <c r="F313" s="19" t="s">
        <v>1106</v>
      </c>
      <c r="G313" s="34">
        <v>8</v>
      </c>
      <c r="H313" s="34">
        <v>1</v>
      </c>
      <c r="I313" s="1"/>
    </row>
    <row r="314" spans="1:9" x14ac:dyDescent="0.25">
      <c r="A314" s="109"/>
      <c r="B314" s="34"/>
      <c r="C314" s="101"/>
      <c r="D314" s="40"/>
      <c r="E314" s="41"/>
      <c r="F314" s="34"/>
      <c r="G314" s="106"/>
      <c r="H314" s="106"/>
      <c r="I314" s="1"/>
    </row>
    <row r="315" spans="1:9" ht="96.75" customHeight="1" x14ac:dyDescent="0.25">
      <c r="A315" s="2149" t="s">
        <v>1330</v>
      </c>
      <c r="B315" s="34">
        <v>1</v>
      </c>
      <c r="C315" s="105" t="s">
        <v>527</v>
      </c>
      <c r="D315" s="40" t="s">
        <v>1312</v>
      </c>
      <c r="E315" s="16" t="s">
        <v>1102</v>
      </c>
      <c r="F315" s="10" t="s">
        <v>1106</v>
      </c>
      <c r="G315" s="106">
        <v>30</v>
      </c>
      <c r="H315" s="106"/>
      <c r="I315" s="1"/>
    </row>
    <row r="316" spans="1:9" ht="63" x14ac:dyDescent="0.25">
      <c r="A316" s="2150"/>
      <c r="B316" s="34">
        <v>2</v>
      </c>
      <c r="C316" s="101" t="s">
        <v>1122</v>
      </c>
      <c r="D316" s="40" t="s">
        <v>1312</v>
      </c>
      <c r="E316" s="16" t="s">
        <v>1102</v>
      </c>
      <c r="F316" s="10" t="s">
        <v>1106</v>
      </c>
      <c r="G316" s="106">
        <v>35</v>
      </c>
      <c r="H316" s="106"/>
      <c r="I316" s="1"/>
    </row>
    <row r="317" spans="1:9" ht="63" x14ac:dyDescent="0.25">
      <c r="A317" s="2150"/>
      <c r="B317" s="34">
        <v>3</v>
      </c>
      <c r="C317" s="105" t="s">
        <v>1259</v>
      </c>
      <c r="D317" s="40" t="s">
        <v>1312</v>
      </c>
      <c r="E317" s="16" t="s">
        <v>1102</v>
      </c>
      <c r="F317" s="10" t="s">
        <v>1106</v>
      </c>
      <c r="G317" s="106">
        <v>30</v>
      </c>
      <c r="H317" s="106"/>
      <c r="I317" s="1"/>
    </row>
    <row r="318" spans="1:9" ht="63" x14ac:dyDescent="0.25">
      <c r="A318" s="2150"/>
      <c r="B318" s="34">
        <v>4</v>
      </c>
      <c r="C318" s="105" t="s">
        <v>443</v>
      </c>
      <c r="D318" s="40" t="s">
        <v>1314</v>
      </c>
      <c r="E318" s="16" t="s">
        <v>1102</v>
      </c>
      <c r="F318" s="10" t="s">
        <v>1106</v>
      </c>
      <c r="G318" s="106">
        <v>20</v>
      </c>
      <c r="H318" s="106">
        <v>8</v>
      </c>
      <c r="I318" s="1"/>
    </row>
    <row r="319" spans="1:9" ht="75" x14ac:dyDescent="0.25">
      <c r="A319" s="2150"/>
      <c r="B319" s="34">
        <v>5</v>
      </c>
      <c r="C319" s="105" t="s">
        <v>456</v>
      </c>
      <c r="D319" s="40" t="s">
        <v>1314</v>
      </c>
      <c r="E319" s="16" t="s">
        <v>1102</v>
      </c>
      <c r="F319" s="10" t="s">
        <v>1106</v>
      </c>
      <c r="G319" s="106">
        <v>20</v>
      </c>
      <c r="H319" s="106">
        <v>8</v>
      </c>
      <c r="I319" s="1"/>
    </row>
    <row r="320" spans="1:9" ht="63" x14ac:dyDescent="0.25">
      <c r="A320" s="2150"/>
      <c r="B320" s="34">
        <v>6</v>
      </c>
      <c r="C320" s="105" t="s">
        <v>494</v>
      </c>
      <c r="D320" s="40" t="s">
        <v>1314</v>
      </c>
      <c r="E320" s="16" t="s">
        <v>1102</v>
      </c>
      <c r="F320" s="10" t="s">
        <v>1106</v>
      </c>
      <c r="G320" s="106">
        <v>20</v>
      </c>
      <c r="H320" s="106">
        <v>8</v>
      </c>
      <c r="I320" s="1"/>
    </row>
    <row r="321" spans="1:9" ht="63" x14ac:dyDescent="0.25">
      <c r="A321" s="2150"/>
      <c r="B321" s="34">
        <v>7</v>
      </c>
      <c r="C321" s="105" t="s">
        <v>460</v>
      </c>
      <c r="D321" s="40" t="s">
        <v>1334</v>
      </c>
      <c r="E321" s="16" t="s">
        <v>1102</v>
      </c>
      <c r="F321" s="10" t="s">
        <v>1106</v>
      </c>
      <c r="G321" s="106">
        <v>8</v>
      </c>
      <c r="H321" s="106">
        <v>1</v>
      </c>
      <c r="I321" s="1"/>
    </row>
    <row r="322" spans="1:9" ht="90" x14ac:dyDescent="0.25">
      <c r="A322" s="2150"/>
      <c r="B322" s="34">
        <v>8</v>
      </c>
      <c r="C322" s="105" t="s">
        <v>522</v>
      </c>
      <c r="D322" s="40" t="s">
        <v>1347</v>
      </c>
      <c r="E322" s="16" t="s">
        <v>1102</v>
      </c>
      <c r="F322" s="10" t="s">
        <v>1106</v>
      </c>
      <c r="G322" s="106"/>
      <c r="H322" s="106">
        <v>32</v>
      </c>
      <c r="I322" s="1"/>
    </row>
    <row r="323" spans="1:9" ht="63" x14ac:dyDescent="0.25">
      <c r="A323" s="2150"/>
      <c r="B323" s="34">
        <v>9</v>
      </c>
      <c r="C323" s="105" t="s">
        <v>1235</v>
      </c>
      <c r="D323" s="40" t="s">
        <v>1312</v>
      </c>
      <c r="E323" s="16" t="s">
        <v>1102</v>
      </c>
      <c r="F323" s="10" t="s">
        <v>1106</v>
      </c>
      <c r="G323" s="106">
        <v>50</v>
      </c>
      <c r="H323" s="106"/>
      <c r="I323" s="1"/>
    </row>
    <row r="324" spans="1:9" ht="90" x14ac:dyDescent="0.25">
      <c r="A324" s="2150"/>
      <c r="B324" s="34">
        <v>10</v>
      </c>
      <c r="C324" s="105" t="s">
        <v>1242</v>
      </c>
      <c r="D324" s="40" t="s">
        <v>1347</v>
      </c>
      <c r="E324" s="16" t="s">
        <v>1102</v>
      </c>
      <c r="F324" s="10" t="s">
        <v>1106</v>
      </c>
      <c r="G324" s="106"/>
      <c r="H324" s="106">
        <v>32</v>
      </c>
      <c r="I324" s="1"/>
    </row>
    <row r="325" spans="1:9" x14ac:dyDescent="0.25">
      <c r="A325" s="2151"/>
      <c r="B325" s="34"/>
      <c r="C325" s="108"/>
      <c r="D325" s="1"/>
      <c r="E325" s="41"/>
      <c r="F325" s="34"/>
      <c r="G325" s="106"/>
      <c r="H325" s="106"/>
      <c r="I325" s="1"/>
    </row>
    <row r="326" spans="1:9" ht="63" x14ac:dyDescent="0.25">
      <c r="A326" s="2149" t="s">
        <v>1331</v>
      </c>
      <c r="B326" s="34">
        <v>1</v>
      </c>
      <c r="C326" s="105" t="s">
        <v>8</v>
      </c>
      <c r="D326" s="40" t="s">
        <v>1314</v>
      </c>
      <c r="E326" s="16" t="s">
        <v>1102</v>
      </c>
      <c r="F326" s="19" t="s">
        <v>1103</v>
      </c>
      <c r="G326" s="10">
        <v>1</v>
      </c>
      <c r="H326" s="10"/>
      <c r="I326" s="10"/>
    </row>
    <row r="327" spans="1:9" ht="63" x14ac:dyDescent="0.25">
      <c r="A327" s="2150"/>
      <c r="B327" s="34">
        <v>2</v>
      </c>
      <c r="C327" s="105" t="s">
        <v>36</v>
      </c>
      <c r="D327" s="40" t="s">
        <v>1314</v>
      </c>
      <c r="E327" s="16" t="s">
        <v>1102</v>
      </c>
      <c r="F327" s="19" t="s">
        <v>1103</v>
      </c>
      <c r="G327" s="10">
        <v>12</v>
      </c>
      <c r="H327" s="10">
        <v>3</v>
      </c>
      <c r="I327" s="10"/>
    </row>
    <row r="328" spans="1:9" ht="75" x14ac:dyDescent="0.25">
      <c r="A328" s="2150"/>
      <c r="B328" s="34">
        <v>3</v>
      </c>
      <c r="C328" s="105" t="s">
        <v>59</v>
      </c>
      <c r="D328" s="40" t="s">
        <v>1314</v>
      </c>
      <c r="E328" s="16" t="s">
        <v>1102</v>
      </c>
      <c r="F328" s="19" t="s">
        <v>1103</v>
      </c>
      <c r="G328" s="10">
        <v>13</v>
      </c>
      <c r="H328" s="10">
        <v>3</v>
      </c>
      <c r="I328" s="10"/>
    </row>
    <row r="329" spans="1:9" ht="63" x14ac:dyDescent="0.25">
      <c r="A329" s="2150"/>
      <c r="B329" s="34">
        <v>4</v>
      </c>
      <c r="C329" s="105" t="s">
        <v>82</v>
      </c>
      <c r="D329" s="40" t="s">
        <v>1314</v>
      </c>
      <c r="E329" s="16" t="s">
        <v>1102</v>
      </c>
      <c r="F329" s="19" t="s">
        <v>1103</v>
      </c>
      <c r="G329" s="10">
        <v>3.5179999999999998</v>
      </c>
      <c r="H329" s="10">
        <v>3.3730000000000002</v>
      </c>
      <c r="I329" s="10"/>
    </row>
    <row r="330" spans="1:9" ht="75" x14ac:dyDescent="0.25">
      <c r="A330" s="2150"/>
      <c r="B330" s="34">
        <v>5</v>
      </c>
      <c r="C330" s="105" t="s">
        <v>475</v>
      </c>
      <c r="D330" s="40" t="s">
        <v>1314</v>
      </c>
      <c r="E330" s="16" t="s">
        <v>1102</v>
      </c>
      <c r="F330" s="19" t="s">
        <v>1103</v>
      </c>
      <c r="G330" s="10">
        <v>20</v>
      </c>
      <c r="H330" s="10">
        <v>9</v>
      </c>
      <c r="I330" s="10"/>
    </row>
    <row r="331" spans="1:9" ht="63" x14ac:dyDescent="0.25">
      <c r="A331" s="2150"/>
      <c r="B331" s="34">
        <v>6</v>
      </c>
      <c r="C331" s="105" t="s">
        <v>248</v>
      </c>
      <c r="D331" s="40" t="s">
        <v>1334</v>
      </c>
      <c r="E331" s="16" t="s">
        <v>1102</v>
      </c>
      <c r="F331" s="19" t="s">
        <v>1103</v>
      </c>
      <c r="G331" s="10">
        <v>8</v>
      </c>
      <c r="H331" s="10">
        <v>1</v>
      </c>
      <c r="I331" s="10"/>
    </row>
    <row r="332" spans="1:9" ht="63" x14ac:dyDescent="0.25">
      <c r="A332" s="2150"/>
      <c r="B332" s="34">
        <v>7</v>
      </c>
      <c r="C332" s="105" t="s">
        <v>264</v>
      </c>
      <c r="D332" s="40" t="s">
        <v>1334</v>
      </c>
      <c r="E332" s="16" t="s">
        <v>1102</v>
      </c>
      <c r="F332" s="19" t="s">
        <v>1138</v>
      </c>
      <c r="G332" s="10">
        <v>8</v>
      </c>
      <c r="H332" s="10">
        <v>1</v>
      </c>
      <c r="I332" s="10"/>
    </row>
    <row r="333" spans="1:9" ht="63" x14ac:dyDescent="0.25">
      <c r="A333" s="2150"/>
      <c r="B333" s="34">
        <v>8</v>
      </c>
      <c r="C333" s="105" t="s">
        <v>286</v>
      </c>
      <c r="D333" s="40" t="s">
        <v>1334</v>
      </c>
      <c r="E333" s="16" t="s">
        <v>1102</v>
      </c>
      <c r="F333" s="19" t="s">
        <v>1140</v>
      </c>
      <c r="G333" s="10">
        <v>3.5179999999999998</v>
      </c>
      <c r="H333" s="10">
        <v>3.3730000000000002</v>
      </c>
      <c r="I333" s="10"/>
    </row>
    <row r="334" spans="1:9" ht="63" x14ac:dyDescent="0.25">
      <c r="A334" s="2150"/>
      <c r="B334" s="34">
        <v>9</v>
      </c>
      <c r="C334" s="105" t="s">
        <v>301</v>
      </c>
      <c r="D334" s="40" t="s">
        <v>1314</v>
      </c>
      <c r="E334" s="16" t="s">
        <v>1102</v>
      </c>
      <c r="F334" s="19" t="s">
        <v>1142</v>
      </c>
      <c r="G334" s="10">
        <v>9</v>
      </c>
      <c r="H334" s="10">
        <v>4</v>
      </c>
      <c r="I334" s="10"/>
    </row>
    <row r="335" spans="1:9" ht="59.25" customHeight="1" x14ac:dyDescent="0.25">
      <c r="A335" s="2150"/>
      <c r="B335" s="34">
        <v>10</v>
      </c>
      <c r="C335" s="101" t="s">
        <v>1354</v>
      </c>
      <c r="D335" s="40" t="s">
        <v>1310</v>
      </c>
      <c r="E335" s="16" t="s">
        <v>1102</v>
      </c>
      <c r="F335" s="19" t="s">
        <v>1144</v>
      </c>
      <c r="G335" s="10">
        <v>3.5179999999999998</v>
      </c>
      <c r="H335" s="10">
        <v>3.3730000000000002</v>
      </c>
      <c r="I335" s="10"/>
    </row>
    <row r="336" spans="1:9" ht="63" x14ac:dyDescent="0.25">
      <c r="A336" s="2150"/>
      <c r="B336" s="34">
        <v>11</v>
      </c>
      <c r="C336" s="105" t="s">
        <v>482</v>
      </c>
      <c r="D336" s="40" t="s">
        <v>1314</v>
      </c>
      <c r="E336" s="16" t="s">
        <v>1102</v>
      </c>
      <c r="F336" s="19" t="s">
        <v>1103</v>
      </c>
      <c r="G336" s="10">
        <v>3.5179999999999998</v>
      </c>
      <c r="H336" s="10">
        <v>3.3730000000000002</v>
      </c>
      <c r="I336" s="10"/>
    </row>
    <row r="337" spans="1:9" ht="63" x14ac:dyDescent="0.25">
      <c r="A337" s="2150"/>
      <c r="B337" s="34">
        <v>12</v>
      </c>
      <c r="C337" s="105" t="s">
        <v>490</v>
      </c>
      <c r="D337" s="40" t="s">
        <v>1314</v>
      </c>
      <c r="E337" s="16" t="s">
        <v>1102</v>
      </c>
      <c r="F337" s="19" t="s">
        <v>1103</v>
      </c>
      <c r="G337" s="10">
        <v>20</v>
      </c>
      <c r="H337" s="10">
        <v>8</v>
      </c>
      <c r="I337" s="10"/>
    </row>
    <row r="338" spans="1:9" ht="63" x14ac:dyDescent="0.25">
      <c r="A338" s="2150"/>
      <c r="B338" s="34">
        <v>13</v>
      </c>
      <c r="C338" s="105" t="s">
        <v>539</v>
      </c>
      <c r="D338" s="40" t="s">
        <v>1312</v>
      </c>
      <c r="E338" s="16" t="s">
        <v>1102</v>
      </c>
      <c r="F338" s="19" t="s">
        <v>1103</v>
      </c>
      <c r="G338" s="10">
        <v>1</v>
      </c>
      <c r="H338" s="10"/>
      <c r="I338" s="10"/>
    </row>
    <row r="339" spans="1:9" ht="63" x14ac:dyDescent="0.25">
      <c r="A339" s="2150"/>
      <c r="B339" s="34">
        <v>14</v>
      </c>
      <c r="C339" s="105" t="s">
        <v>421</v>
      </c>
      <c r="D339" s="40" t="s">
        <v>1314</v>
      </c>
      <c r="E339" s="16" t="s">
        <v>1102</v>
      </c>
      <c r="F339" s="19" t="s">
        <v>1144</v>
      </c>
      <c r="G339" s="10">
        <v>20</v>
      </c>
      <c r="H339" s="10">
        <v>8</v>
      </c>
      <c r="I339" s="10"/>
    </row>
    <row r="340" spans="1:9" ht="63" x14ac:dyDescent="0.25">
      <c r="A340" s="2150"/>
      <c r="B340" s="34">
        <v>15</v>
      </c>
      <c r="C340" s="105" t="s">
        <v>544</v>
      </c>
      <c r="D340" s="40" t="s">
        <v>1314</v>
      </c>
      <c r="E340" s="16" t="s">
        <v>1102</v>
      </c>
      <c r="F340" s="19" t="s">
        <v>1147</v>
      </c>
      <c r="G340" s="10">
        <v>3.5179999999999998</v>
      </c>
      <c r="H340" s="10">
        <v>3.3730000000000002</v>
      </c>
      <c r="I340" s="10"/>
    </row>
    <row r="341" spans="1:9" ht="63" x14ac:dyDescent="0.25">
      <c r="A341" s="2150"/>
      <c r="B341" s="34">
        <v>16</v>
      </c>
      <c r="C341" s="105" t="s">
        <v>551</v>
      </c>
      <c r="D341" s="40" t="s">
        <v>1314</v>
      </c>
      <c r="E341" s="16" t="s">
        <v>1102</v>
      </c>
      <c r="F341" s="19" t="s">
        <v>1147</v>
      </c>
      <c r="G341" s="10">
        <v>3.5179999999999998</v>
      </c>
      <c r="H341" s="10">
        <v>3.3730000000000002</v>
      </c>
      <c r="I341" s="10"/>
    </row>
    <row r="342" spans="1:9" ht="63" x14ac:dyDescent="0.25">
      <c r="A342" s="2150"/>
      <c r="B342" s="34">
        <v>17</v>
      </c>
      <c r="C342" s="105" t="s">
        <v>552</v>
      </c>
      <c r="D342" s="40" t="s">
        <v>1334</v>
      </c>
      <c r="E342" s="16" t="s">
        <v>1102</v>
      </c>
      <c r="F342" s="19" t="s">
        <v>1147</v>
      </c>
      <c r="G342" s="10">
        <v>3.5179999999999998</v>
      </c>
      <c r="H342" s="10">
        <v>3.3730000000000002</v>
      </c>
      <c r="I342" s="10"/>
    </row>
    <row r="343" spans="1:9" ht="63" x14ac:dyDescent="0.25">
      <c r="A343" s="2150"/>
      <c r="B343" s="34">
        <v>18</v>
      </c>
      <c r="C343" s="105" t="s">
        <v>553</v>
      </c>
      <c r="D343" s="40" t="s">
        <v>1314</v>
      </c>
      <c r="E343" s="16" t="s">
        <v>1102</v>
      </c>
      <c r="F343" s="19" t="s">
        <v>1147</v>
      </c>
      <c r="G343" s="10">
        <v>3.5179999999999998</v>
      </c>
      <c r="H343" s="10">
        <v>3.3730000000000002</v>
      </c>
      <c r="I343" s="10"/>
    </row>
    <row r="344" spans="1:9" ht="63" x14ac:dyDescent="0.25">
      <c r="A344" s="2150"/>
      <c r="B344" s="34">
        <v>19</v>
      </c>
      <c r="C344" s="105" t="s">
        <v>554</v>
      </c>
      <c r="D344" s="40" t="s">
        <v>1314</v>
      </c>
      <c r="E344" s="16" t="s">
        <v>1102</v>
      </c>
      <c r="F344" s="19" t="s">
        <v>1147</v>
      </c>
      <c r="G344" s="10">
        <v>3.5179999999999998</v>
      </c>
      <c r="H344" s="10">
        <v>3.3730000000000002</v>
      </c>
      <c r="I344" s="10"/>
    </row>
    <row r="345" spans="1:9" ht="75" x14ac:dyDescent="0.25">
      <c r="A345" s="2150"/>
      <c r="B345" s="34">
        <v>20</v>
      </c>
      <c r="C345" s="105" t="s">
        <v>330</v>
      </c>
      <c r="D345" s="40" t="s">
        <v>1312</v>
      </c>
      <c r="E345" s="16" t="s">
        <v>1102</v>
      </c>
      <c r="F345" s="19" t="s">
        <v>1147</v>
      </c>
      <c r="G345" s="10">
        <v>3.5179999999999998</v>
      </c>
      <c r="H345" s="10">
        <v>3.3730000000000002</v>
      </c>
      <c r="I345" s="10"/>
    </row>
    <row r="346" spans="1:9" ht="75" x14ac:dyDescent="0.25">
      <c r="A346" s="2150"/>
      <c r="B346" s="34">
        <v>21</v>
      </c>
      <c r="C346" s="105" t="s">
        <v>1182</v>
      </c>
      <c r="D346" s="40" t="s">
        <v>1312</v>
      </c>
      <c r="E346" s="16" t="s">
        <v>1102</v>
      </c>
      <c r="F346" s="19" t="s">
        <v>1147</v>
      </c>
      <c r="G346" s="10">
        <v>3.5179999999999998</v>
      </c>
      <c r="H346" s="10">
        <v>3.3730000000000002</v>
      </c>
      <c r="I346" s="10"/>
    </row>
    <row r="347" spans="1:9" ht="75" x14ac:dyDescent="0.25">
      <c r="A347" s="2150"/>
      <c r="B347" s="34">
        <v>22</v>
      </c>
      <c r="C347" s="105" t="s">
        <v>1243</v>
      </c>
      <c r="D347" s="40" t="s">
        <v>1314</v>
      </c>
      <c r="E347" s="16" t="s">
        <v>1102</v>
      </c>
      <c r="F347" s="19" t="s">
        <v>1147</v>
      </c>
      <c r="G347" s="10">
        <v>20</v>
      </c>
      <c r="H347" s="10">
        <v>8</v>
      </c>
      <c r="I347" s="15"/>
    </row>
    <row r="348" spans="1:9" ht="90" x14ac:dyDescent="0.25">
      <c r="A348" s="2150"/>
      <c r="B348" s="34">
        <v>23</v>
      </c>
      <c r="C348" s="105" t="s">
        <v>312</v>
      </c>
      <c r="D348" s="40" t="s">
        <v>1312</v>
      </c>
      <c r="E348" s="16" t="s">
        <v>1102</v>
      </c>
      <c r="F348" s="19" t="s">
        <v>1151</v>
      </c>
      <c r="G348" s="10">
        <v>3.5179999999999998</v>
      </c>
      <c r="H348" s="10">
        <v>3.3730000000000002</v>
      </c>
      <c r="I348" s="40"/>
    </row>
    <row r="349" spans="1:9" ht="63" x14ac:dyDescent="0.25">
      <c r="A349" s="2150"/>
      <c r="B349" s="34">
        <v>24</v>
      </c>
      <c r="C349" s="105" t="s">
        <v>363</v>
      </c>
      <c r="D349" s="40" t="s">
        <v>1314</v>
      </c>
      <c r="E349" s="16" t="s">
        <v>1102</v>
      </c>
      <c r="F349" s="19" t="s">
        <v>1106</v>
      </c>
      <c r="G349" s="10">
        <v>3.5179999999999998</v>
      </c>
      <c r="H349" s="10">
        <v>3.3730000000000002</v>
      </c>
      <c r="I349" s="40"/>
    </row>
    <row r="350" spans="1:9" ht="105" x14ac:dyDescent="0.25">
      <c r="A350" s="2150"/>
      <c r="B350" s="34">
        <v>25</v>
      </c>
      <c r="C350" s="105" t="s">
        <v>381</v>
      </c>
      <c r="D350" s="40" t="s">
        <v>1314</v>
      </c>
      <c r="E350" s="16" t="s">
        <v>1102</v>
      </c>
      <c r="F350" s="19" t="s">
        <v>1152</v>
      </c>
      <c r="G350" s="10">
        <v>3.5179999999999998</v>
      </c>
      <c r="H350" s="10">
        <v>3.3730000000000002</v>
      </c>
      <c r="I350" s="40"/>
    </row>
    <row r="351" spans="1:9" ht="63" x14ac:dyDescent="0.25">
      <c r="A351" s="2150"/>
      <c r="B351" s="34">
        <v>26</v>
      </c>
      <c r="C351" s="105" t="s">
        <v>386</v>
      </c>
      <c r="D351" s="40" t="s">
        <v>1314</v>
      </c>
      <c r="E351" s="16" t="s">
        <v>1102</v>
      </c>
      <c r="F351" s="19" t="s">
        <v>1153</v>
      </c>
      <c r="G351" s="10">
        <v>3.5179999999999998</v>
      </c>
      <c r="H351" s="10">
        <v>3.3730000000000002</v>
      </c>
      <c r="I351" s="40"/>
    </row>
    <row r="352" spans="1:9" ht="63" x14ac:dyDescent="0.25">
      <c r="A352" s="2150"/>
      <c r="B352" s="34">
        <v>27</v>
      </c>
      <c r="C352" s="105" t="s">
        <v>569</v>
      </c>
      <c r="D352" s="40" t="s">
        <v>1314</v>
      </c>
      <c r="E352" s="16" t="s">
        <v>1102</v>
      </c>
      <c r="F352" s="19" t="s">
        <v>1106</v>
      </c>
      <c r="G352" s="10">
        <v>3.5179999999999998</v>
      </c>
      <c r="H352" s="10">
        <v>3.3730000000000002</v>
      </c>
      <c r="I352" s="40"/>
    </row>
    <row r="353" spans="1:9" ht="63" x14ac:dyDescent="0.25">
      <c r="A353" s="2150"/>
      <c r="B353" s="34">
        <v>28</v>
      </c>
      <c r="C353" s="105" t="s">
        <v>411</v>
      </c>
      <c r="D353" s="40" t="s">
        <v>1314</v>
      </c>
      <c r="E353" s="16" t="s">
        <v>1102</v>
      </c>
      <c r="F353" s="19" t="s">
        <v>1106</v>
      </c>
      <c r="G353" s="10">
        <v>3.5179999999999998</v>
      </c>
      <c r="H353" s="10">
        <v>3.3730000000000002</v>
      </c>
      <c r="I353" s="40"/>
    </row>
    <row r="354" spans="1:9" ht="63" x14ac:dyDescent="0.25">
      <c r="A354" s="2150"/>
      <c r="B354" s="34">
        <v>29</v>
      </c>
      <c r="C354" s="105" t="s">
        <v>413</v>
      </c>
      <c r="D354" s="40" t="s">
        <v>1314</v>
      </c>
      <c r="E354" s="16" t="s">
        <v>1102</v>
      </c>
      <c r="F354" s="19" t="s">
        <v>1106</v>
      </c>
      <c r="G354" s="10">
        <v>3.5179999999999998</v>
      </c>
      <c r="H354" s="10">
        <v>3.3730000000000002</v>
      </c>
      <c r="I354" s="40"/>
    </row>
    <row r="355" spans="1:9" ht="63" x14ac:dyDescent="0.25">
      <c r="A355" s="2150"/>
      <c r="B355" s="34">
        <v>30</v>
      </c>
      <c r="C355" s="105" t="s">
        <v>415</v>
      </c>
      <c r="D355" s="40" t="s">
        <v>1314</v>
      </c>
      <c r="E355" s="16" t="s">
        <v>1102</v>
      </c>
      <c r="F355" s="19" t="s">
        <v>1106</v>
      </c>
      <c r="G355" s="10">
        <v>3.5179999999999998</v>
      </c>
      <c r="H355" s="10">
        <v>3.3730000000000002</v>
      </c>
      <c r="I355" s="40"/>
    </row>
    <row r="356" spans="1:9" ht="90" x14ac:dyDescent="0.25">
      <c r="A356" s="2150"/>
      <c r="B356" s="34">
        <v>31</v>
      </c>
      <c r="C356" s="105" t="s">
        <v>396</v>
      </c>
      <c r="D356" s="40" t="s">
        <v>1314</v>
      </c>
      <c r="E356" s="16" t="s">
        <v>1102</v>
      </c>
      <c r="F356" s="22" t="s">
        <v>1106</v>
      </c>
      <c r="G356" s="10">
        <v>3.5179999999999998</v>
      </c>
      <c r="H356" s="10">
        <v>3.3730000000000002</v>
      </c>
      <c r="I356" s="93"/>
    </row>
    <row r="357" spans="1:9" ht="120" x14ac:dyDescent="0.25">
      <c r="A357" s="2150"/>
      <c r="B357" s="34">
        <v>32</v>
      </c>
      <c r="C357" s="105" t="s">
        <v>913</v>
      </c>
      <c r="D357" s="40" t="s">
        <v>1312</v>
      </c>
      <c r="E357" s="16" t="s">
        <v>1102</v>
      </c>
      <c r="F357" s="19" t="s">
        <v>1106</v>
      </c>
      <c r="G357" s="34">
        <v>3.5179999999999998</v>
      </c>
      <c r="H357" s="34">
        <v>3.3730000000000002</v>
      </c>
      <c r="I357" s="40"/>
    </row>
    <row r="358" spans="1:9" ht="120" x14ac:dyDescent="0.25">
      <c r="A358" s="2150"/>
      <c r="B358" s="34">
        <v>33</v>
      </c>
      <c r="C358" s="105" t="s">
        <v>920</v>
      </c>
      <c r="D358" s="40" t="s">
        <v>1312</v>
      </c>
      <c r="E358" s="16" t="s">
        <v>1102</v>
      </c>
      <c r="F358" s="19" t="s">
        <v>1106</v>
      </c>
      <c r="G358" s="34">
        <v>3.5179999999999998</v>
      </c>
      <c r="H358" s="34">
        <v>3.3730000000000002</v>
      </c>
      <c r="I358" s="40"/>
    </row>
    <row r="359" spans="1:9" ht="121.5" customHeight="1" x14ac:dyDescent="0.25">
      <c r="A359" s="2150"/>
      <c r="B359" s="34">
        <v>34</v>
      </c>
      <c r="C359" s="105" t="s">
        <v>924</v>
      </c>
      <c r="D359" s="40" t="s">
        <v>1346</v>
      </c>
      <c r="E359" s="16" t="s">
        <v>1102</v>
      </c>
      <c r="F359" s="19" t="s">
        <v>1106</v>
      </c>
      <c r="G359" s="34">
        <v>35</v>
      </c>
      <c r="H359" s="34"/>
      <c r="I359" s="40"/>
    </row>
    <row r="360" spans="1:9" ht="105" x14ac:dyDescent="0.25">
      <c r="A360" s="2150"/>
      <c r="B360" s="34">
        <v>35</v>
      </c>
      <c r="C360" s="105" t="s">
        <v>927</v>
      </c>
      <c r="D360" s="40" t="s">
        <v>1346</v>
      </c>
      <c r="E360" s="16" t="s">
        <v>1102</v>
      </c>
      <c r="F360" s="19" t="s">
        <v>1138</v>
      </c>
      <c r="G360" s="34">
        <v>35</v>
      </c>
      <c r="H360" s="34"/>
      <c r="I360" s="40"/>
    </row>
    <row r="361" spans="1:9" ht="63" x14ac:dyDescent="0.25">
      <c r="A361" s="2150"/>
      <c r="B361" s="34">
        <v>36</v>
      </c>
      <c r="C361" s="105" t="s">
        <v>938</v>
      </c>
      <c r="D361" s="40" t="s">
        <v>1351</v>
      </c>
      <c r="E361" s="16" t="s">
        <v>1102</v>
      </c>
      <c r="F361" s="19" t="s">
        <v>1106</v>
      </c>
      <c r="G361" s="34"/>
      <c r="H361" s="34">
        <v>29</v>
      </c>
      <c r="I361" s="1"/>
    </row>
    <row r="362" spans="1:9" ht="75" x14ac:dyDescent="0.25">
      <c r="A362" s="2150"/>
      <c r="B362" s="34">
        <v>37</v>
      </c>
      <c r="C362" s="105" t="s">
        <v>996</v>
      </c>
      <c r="D362" s="40" t="s">
        <v>1314</v>
      </c>
      <c r="E362" s="16" t="s">
        <v>1102</v>
      </c>
      <c r="F362" s="19" t="s">
        <v>1106</v>
      </c>
      <c r="G362" s="34">
        <v>20</v>
      </c>
      <c r="H362" s="34">
        <v>8</v>
      </c>
      <c r="I362" s="1"/>
    </row>
    <row r="363" spans="1:9" ht="63" x14ac:dyDescent="0.25">
      <c r="A363" s="2150"/>
      <c r="B363" s="34">
        <v>38</v>
      </c>
      <c r="C363" s="105" t="s">
        <v>956</v>
      </c>
      <c r="D363" s="40" t="s">
        <v>1314</v>
      </c>
      <c r="E363" s="16" t="s">
        <v>1102</v>
      </c>
      <c r="F363" s="19" t="s">
        <v>1106</v>
      </c>
      <c r="G363" s="34">
        <v>20</v>
      </c>
      <c r="H363" s="34">
        <v>8</v>
      </c>
      <c r="I363" s="1"/>
    </row>
    <row r="364" spans="1:9" ht="63" x14ac:dyDescent="0.25">
      <c r="A364" s="2150"/>
      <c r="B364" s="34">
        <v>39</v>
      </c>
      <c r="C364" s="105" t="s">
        <v>966</v>
      </c>
      <c r="D364" s="40" t="s">
        <v>1312</v>
      </c>
      <c r="E364" s="16" t="s">
        <v>1102</v>
      </c>
      <c r="F364" s="19" t="s">
        <v>1106</v>
      </c>
      <c r="G364" s="34">
        <v>20</v>
      </c>
      <c r="H364" s="34">
        <v>8</v>
      </c>
      <c r="I364" s="1"/>
    </row>
    <row r="365" spans="1:9" ht="63" x14ac:dyDescent="0.25">
      <c r="A365" s="2150"/>
      <c r="B365" s="34">
        <v>40</v>
      </c>
      <c r="C365" s="105" t="s">
        <v>1121</v>
      </c>
      <c r="D365" s="40" t="s">
        <v>1312</v>
      </c>
      <c r="E365" s="16" t="s">
        <v>1102</v>
      </c>
      <c r="F365" s="19" t="s">
        <v>1106</v>
      </c>
      <c r="G365" s="34">
        <v>3.5179999999999998</v>
      </c>
      <c r="H365" s="34">
        <v>3.3730000000000002</v>
      </c>
      <c r="I365" s="1"/>
    </row>
    <row r="366" spans="1:9" ht="63" x14ac:dyDescent="0.25">
      <c r="A366" s="2150"/>
      <c r="B366" s="34">
        <v>41</v>
      </c>
      <c r="C366" s="105" t="s">
        <v>970</v>
      </c>
      <c r="D366" s="40" t="s">
        <v>1312</v>
      </c>
      <c r="E366" s="16" t="s">
        <v>1102</v>
      </c>
      <c r="F366" s="19" t="s">
        <v>1106</v>
      </c>
      <c r="G366" s="34">
        <v>3.5179999999999998</v>
      </c>
      <c r="H366" s="34">
        <v>3.3730000000000002</v>
      </c>
      <c r="I366" s="1"/>
    </row>
    <row r="367" spans="1:9" ht="63" x14ac:dyDescent="0.25">
      <c r="A367" s="2150"/>
      <c r="B367" s="34">
        <v>42</v>
      </c>
      <c r="C367" s="105" t="s">
        <v>978</v>
      </c>
      <c r="D367" s="40" t="s">
        <v>1312</v>
      </c>
      <c r="E367" s="16" t="s">
        <v>1102</v>
      </c>
      <c r="F367" s="19" t="s">
        <v>1106</v>
      </c>
      <c r="G367" s="34">
        <v>3.5179999999999998</v>
      </c>
      <c r="H367" s="34">
        <v>3.3730000000000002</v>
      </c>
      <c r="I367" s="1"/>
    </row>
    <row r="368" spans="1:9" ht="225" x14ac:dyDescent="0.25">
      <c r="A368" s="2150"/>
      <c r="B368" s="34">
        <v>43</v>
      </c>
      <c r="C368" s="105" t="s">
        <v>1124</v>
      </c>
      <c r="D368" s="40" t="s">
        <v>1312</v>
      </c>
      <c r="E368" s="16" t="s">
        <v>1102</v>
      </c>
      <c r="F368" s="19" t="s">
        <v>1106</v>
      </c>
      <c r="G368" s="34">
        <v>3.5179999999999998</v>
      </c>
      <c r="H368" s="34">
        <v>3.3730000000000002</v>
      </c>
      <c r="I368" s="40"/>
    </row>
    <row r="369" spans="1:9" ht="77.25" customHeight="1" x14ac:dyDescent="0.25">
      <c r="A369" s="2150"/>
      <c r="B369" s="34">
        <v>44</v>
      </c>
      <c r="C369" s="105" t="e">
        <f>#REF!</f>
        <v>#REF!</v>
      </c>
      <c r="D369" s="40"/>
      <c r="E369" s="16"/>
      <c r="F369" s="19"/>
      <c r="G369" s="34"/>
      <c r="H369" s="34"/>
      <c r="I369" s="40"/>
    </row>
    <row r="370" spans="1:9" ht="63" x14ac:dyDescent="0.25">
      <c r="A370" s="2150"/>
      <c r="B370" s="34">
        <v>45</v>
      </c>
      <c r="C370" s="105" t="s">
        <v>987</v>
      </c>
      <c r="D370" s="40" t="s">
        <v>1312</v>
      </c>
      <c r="E370" s="16" t="s">
        <v>1102</v>
      </c>
      <c r="F370" s="19" t="s">
        <v>1106</v>
      </c>
      <c r="G370" s="34">
        <v>3.5179999999999998</v>
      </c>
      <c r="H370" s="34">
        <v>3.3730000000000002</v>
      </c>
      <c r="I370" s="40"/>
    </row>
    <row r="371" spans="1:9" ht="75" x14ac:dyDescent="0.25">
      <c r="A371" s="2150"/>
      <c r="B371" s="34">
        <v>46</v>
      </c>
      <c r="C371" s="105" t="s">
        <v>998</v>
      </c>
      <c r="D371" s="40" t="s">
        <v>1348</v>
      </c>
      <c r="E371" s="16" t="s">
        <v>1102</v>
      </c>
      <c r="F371" s="19" t="s">
        <v>1106</v>
      </c>
      <c r="G371" s="34">
        <v>13</v>
      </c>
      <c r="H371" s="34">
        <v>4</v>
      </c>
      <c r="I371" s="40"/>
    </row>
    <row r="372" spans="1:9" ht="63" x14ac:dyDescent="0.25">
      <c r="A372" s="2150"/>
      <c r="B372" s="34">
        <v>47</v>
      </c>
      <c r="C372" s="105" t="s">
        <v>1162</v>
      </c>
      <c r="D372" s="40" t="s">
        <v>1348</v>
      </c>
      <c r="E372" s="16" t="s">
        <v>1102</v>
      </c>
      <c r="F372" s="19" t="s">
        <v>1106</v>
      </c>
      <c r="G372" s="34">
        <v>13</v>
      </c>
      <c r="H372" s="34">
        <v>4</v>
      </c>
      <c r="I372" s="40"/>
    </row>
    <row r="373" spans="1:9" ht="75" x14ac:dyDescent="0.25">
      <c r="A373" s="2150"/>
      <c r="B373" s="34">
        <v>48</v>
      </c>
      <c r="C373" s="105" t="s">
        <v>1014</v>
      </c>
      <c r="D373" s="40" t="s">
        <v>1312</v>
      </c>
      <c r="E373" s="16" t="s">
        <v>1102</v>
      </c>
      <c r="F373" s="19" t="s">
        <v>1106</v>
      </c>
      <c r="G373" s="34">
        <v>3.5179999999999998</v>
      </c>
      <c r="H373" s="34">
        <v>3.3730000000000002</v>
      </c>
      <c r="I373" s="40"/>
    </row>
    <row r="374" spans="1:9" ht="105" x14ac:dyDescent="0.25">
      <c r="A374" s="2150"/>
      <c r="B374" s="34">
        <v>49</v>
      </c>
      <c r="C374" s="105" t="s">
        <v>1040</v>
      </c>
      <c r="D374" s="40" t="s">
        <v>1312</v>
      </c>
      <c r="E374" s="16" t="s">
        <v>1102</v>
      </c>
      <c r="F374" s="19" t="s">
        <v>1106</v>
      </c>
      <c r="G374" s="34">
        <v>3.5179999999999998</v>
      </c>
      <c r="H374" s="34">
        <v>3.3730000000000002</v>
      </c>
      <c r="I374" s="40"/>
    </row>
    <row r="375" spans="1:9" ht="84.75" customHeight="1" x14ac:dyDescent="0.25">
      <c r="A375" s="2150"/>
      <c r="B375" s="34">
        <v>50</v>
      </c>
      <c r="C375" s="105" t="s">
        <v>1043</v>
      </c>
      <c r="D375" s="40" t="s">
        <v>1312</v>
      </c>
      <c r="E375" s="16" t="s">
        <v>1102</v>
      </c>
      <c r="F375" s="19" t="s">
        <v>1106</v>
      </c>
      <c r="G375" s="34">
        <v>3.5179999999999998</v>
      </c>
      <c r="H375" s="34">
        <v>3.3730000000000002</v>
      </c>
      <c r="I375" s="40"/>
    </row>
    <row r="376" spans="1:9" ht="90" x14ac:dyDescent="0.25">
      <c r="A376" s="2150"/>
      <c r="B376" s="34">
        <v>51</v>
      </c>
      <c r="C376" s="105" t="s">
        <v>1051</v>
      </c>
      <c r="D376" s="40" t="s">
        <v>1312</v>
      </c>
      <c r="E376" s="16" t="s">
        <v>1102</v>
      </c>
      <c r="F376" s="19" t="s">
        <v>1106</v>
      </c>
      <c r="G376" s="34">
        <v>3.5179999999999998</v>
      </c>
      <c r="H376" s="34">
        <v>3.3730000000000002</v>
      </c>
      <c r="I376" s="40"/>
    </row>
    <row r="377" spans="1:9" ht="63" x14ac:dyDescent="0.25">
      <c r="A377" s="2150"/>
      <c r="B377" s="34">
        <v>52</v>
      </c>
      <c r="C377" s="105" t="s">
        <v>1055</v>
      </c>
      <c r="D377" s="40" t="s">
        <v>1347</v>
      </c>
      <c r="E377" s="16" t="s">
        <v>1102</v>
      </c>
      <c r="F377" s="19" t="s">
        <v>1106</v>
      </c>
      <c r="G377" s="34">
        <v>3.5179999999999998</v>
      </c>
      <c r="H377" s="34">
        <v>3.3730000000000002</v>
      </c>
      <c r="I377" s="40"/>
    </row>
    <row r="378" spans="1:9" ht="97.5" customHeight="1" x14ac:dyDescent="0.25">
      <c r="A378" s="2150"/>
      <c r="B378" s="34">
        <v>53</v>
      </c>
      <c r="C378" s="105" t="s">
        <v>1057</v>
      </c>
      <c r="D378" s="40" t="s">
        <v>1312</v>
      </c>
      <c r="E378" s="16" t="s">
        <v>1102</v>
      </c>
      <c r="F378" s="19" t="s">
        <v>1106</v>
      </c>
      <c r="G378" s="34">
        <v>3.5179999999999998</v>
      </c>
      <c r="H378" s="34">
        <v>3.3730000000000002</v>
      </c>
      <c r="I378" s="40"/>
    </row>
    <row r="379" spans="1:9" ht="105" x14ac:dyDescent="0.25">
      <c r="A379" s="2150"/>
      <c r="B379" s="34">
        <v>54</v>
      </c>
      <c r="C379" s="105" t="s">
        <v>1231</v>
      </c>
      <c r="D379" s="40" t="s">
        <v>1312</v>
      </c>
      <c r="E379" s="16" t="s">
        <v>1102</v>
      </c>
      <c r="F379" s="19" t="s">
        <v>1106</v>
      </c>
      <c r="G379" s="34">
        <v>3.5179999999999998</v>
      </c>
      <c r="H379" s="34">
        <v>3.3730000000000002</v>
      </c>
      <c r="I379" s="40"/>
    </row>
    <row r="380" spans="1:9" ht="102.75" customHeight="1" x14ac:dyDescent="0.25">
      <c r="A380" s="2150"/>
      <c r="B380" s="34">
        <v>55</v>
      </c>
      <c r="C380" s="105" t="s">
        <v>527</v>
      </c>
      <c r="D380" s="40" t="s">
        <v>1312</v>
      </c>
      <c r="E380" s="16" t="s">
        <v>1102</v>
      </c>
      <c r="F380" s="19" t="s">
        <v>1106</v>
      </c>
      <c r="G380" s="34">
        <v>30</v>
      </c>
      <c r="H380" s="34"/>
      <c r="I380" s="40"/>
    </row>
    <row r="381" spans="1:9" ht="66" customHeight="1" x14ac:dyDescent="0.25">
      <c r="A381" s="2150"/>
      <c r="B381" s="34">
        <v>56</v>
      </c>
      <c r="C381" s="105" t="s">
        <v>1122</v>
      </c>
      <c r="D381" s="40" t="s">
        <v>1312</v>
      </c>
      <c r="E381" s="16" t="s">
        <v>1102</v>
      </c>
      <c r="F381" s="19" t="s">
        <v>1106</v>
      </c>
      <c r="G381" s="34">
        <v>35</v>
      </c>
      <c r="H381" s="34"/>
      <c r="I381" s="40"/>
    </row>
    <row r="382" spans="1:9" ht="66" customHeight="1" x14ac:dyDescent="0.25">
      <c r="A382" s="2150"/>
      <c r="B382" s="34">
        <v>57</v>
      </c>
      <c r="C382" s="105" t="s">
        <v>1259</v>
      </c>
      <c r="D382" s="40" t="s">
        <v>1312</v>
      </c>
      <c r="E382" s="16" t="s">
        <v>1102</v>
      </c>
      <c r="F382" s="19" t="s">
        <v>1106</v>
      </c>
      <c r="G382" s="34">
        <v>30</v>
      </c>
      <c r="H382" s="34"/>
      <c r="I382" s="40"/>
    </row>
    <row r="383" spans="1:9" ht="58.5" customHeight="1" x14ac:dyDescent="0.25">
      <c r="A383" s="2150"/>
      <c r="B383" s="34">
        <v>58</v>
      </c>
      <c r="C383" s="105" t="s">
        <v>443</v>
      </c>
      <c r="D383" s="40" t="s">
        <v>1314</v>
      </c>
      <c r="E383" s="16" t="s">
        <v>1102</v>
      </c>
      <c r="F383" s="19" t="s">
        <v>1106</v>
      </c>
      <c r="G383" s="34">
        <v>20</v>
      </c>
      <c r="H383" s="34">
        <v>8</v>
      </c>
      <c r="I383" s="40"/>
    </row>
    <row r="384" spans="1:9" ht="75" x14ac:dyDescent="0.25">
      <c r="A384" s="2150"/>
      <c r="B384" s="34">
        <v>59</v>
      </c>
      <c r="C384" s="105" t="s">
        <v>456</v>
      </c>
      <c r="D384" s="40" t="s">
        <v>1314</v>
      </c>
      <c r="E384" s="16" t="s">
        <v>1102</v>
      </c>
      <c r="F384" s="19" t="s">
        <v>1106</v>
      </c>
      <c r="G384" s="34">
        <v>20</v>
      </c>
      <c r="H384" s="34">
        <v>8</v>
      </c>
      <c r="I384" s="40"/>
    </row>
    <row r="385" spans="1:9" ht="67.5" customHeight="1" x14ac:dyDescent="0.25">
      <c r="A385" s="2150"/>
      <c r="B385" s="34">
        <v>60</v>
      </c>
      <c r="C385" s="105" t="s">
        <v>494</v>
      </c>
      <c r="D385" s="40" t="s">
        <v>1314</v>
      </c>
      <c r="E385" s="16" t="s">
        <v>1102</v>
      </c>
      <c r="F385" s="19" t="s">
        <v>1106</v>
      </c>
      <c r="G385" s="34">
        <v>20</v>
      </c>
      <c r="H385" s="34">
        <v>8</v>
      </c>
      <c r="I385" s="40"/>
    </row>
    <row r="386" spans="1:9" ht="78" customHeight="1" x14ac:dyDescent="0.25">
      <c r="A386" s="2150"/>
      <c r="B386" s="34">
        <v>61</v>
      </c>
      <c r="C386" s="105" t="s">
        <v>460</v>
      </c>
      <c r="D386" s="40" t="s">
        <v>1334</v>
      </c>
      <c r="E386" s="16" t="s">
        <v>1102</v>
      </c>
      <c r="F386" s="19" t="s">
        <v>1106</v>
      </c>
      <c r="G386" s="34">
        <v>8</v>
      </c>
      <c r="H386" s="34">
        <v>1</v>
      </c>
      <c r="I386" s="40"/>
    </row>
    <row r="387" spans="1:9" ht="90" x14ac:dyDescent="0.25">
      <c r="A387" s="2150"/>
      <c r="B387" s="34">
        <v>62</v>
      </c>
      <c r="C387" s="105" t="s">
        <v>522</v>
      </c>
      <c r="D387" s="40" t="s">
        <v>1347</v>
      </c>
      <c r="E387" s="16" t="s">
        <v>1102</v>
      </c>
      <c r="F387" s="19" t="s">
        <v>1106</v>
      </c>
      <c r="G387" s="34"/>
      <c r="H387" s="34">
        <v>32</v>
      </c>
      <c r="I387" s="40"/>
    </row>
    <row r="388" spans="1:9" ht="63" x14ac:dyDescent="0.25">
      <c r="A388" s="2150"/>
      <c r="B388" s="34">
        <v>63</v>
      </c>
      <c r="C388" s="105" t="s">
        <v>1235</v>
      </c>
      <c r="D388" s="40" t="s">
        <v>1312</v>
      </c>
      <c r="E388" s="16" t="s">
        <v>1102</v>
      </c>
      <c r="F388" s="19" t="s">
        <v>1106</v>
      </c>
      <c r="G388" s="34">
        <v>50</v>
      </c>
      <c r="H388" s="34"/>
      <c r="I388" s="40"/>
    </row>
    <row r="389" spans="1:9" ht="90" x14ac:dyDescent="0.25">
      <c r="A389" s="2150"/>
      <c r="B389" s="34">
        <v>64</v>
      </c>
      <c r="C389" s="105" t="s">
        <v>1242</v>
      </c>
      <c r="D389" s="40" t="s">
        <v>1347</v>
      </c>
      <c r="E389" s="16" t="s">
        <v>1102</v>
      </c>
      <c r="F389" s="19" t="s">
        <v>1106</v>
      </c>
      <c r="G389" s="34"/>
      <c r="H389" s="34">
        <v>32</v>
      </c>
      <c r="I389" s="40"/>
    </row>
    <row r="390" spans="1:9" ht="17.25" customHeight="1" x14ac:dyDescent="0.25">
      <c r="A390" s="2151"/>
      <c r="B390" s="34"/>
      <c r="C390" s="38"/>
      <c r="D390" s="1"/>
      <c r="E390" s="1"/>
      <c r="F390" s="34"/>
      <c r="G390" s="1"/>
      <c r="H390" s="1"/>
      <c r="I390" s="1"/>
    </row>
    <row r="391" spans="1:9" x14ac:dyDescent="0.25">
      <c r="B391" s="97"/>
      <c r="C391" s="97"/>
    </row>
    <row r="392" spans="1:9" x14ac:dyDescent="0.25">
      <c r="B392" s="97"/>
      <c r="C392" s="97"/>
    </row>
    <row r="393" spans="1:9" x14ac:dyDescent="0.25">
      <c r="B393" s="97"/>
      <c r="C393" s="97"/>
    </row>
    <row r="394" spans="1:9" s="7" customFormat="1" ht="15.75" x14ac:dyDescent="0.25">
      <c r="B394" s="6"/>
      <c r="C394" s="6"/>
      <c r="E394" s="7" t="s">
        <v>1404</v>
      </c>
    </row>
    <row r="395" spans="1:9" s="7" customFormat="1" ht="15.75" x14ac:dyDescent="0.25">
      <c r="B395" s="6" t="s">
        <v>1332</v>
      </c>
      <c r="C395" s="6"/>
      <c r="E395" s="7" t="s">
        <v>1116</v>
      </c>
    </row>
    <row r="396" spans="1:9" s="7" customFormat="1" ht="15.75" x14ac:dyDescent="0.25">
      <c r="B396" s="6" t="s">
        <v>1405</v>
      </c>
      <c r="C396" s="6"/>
      <c r="E396" s="7" t="s">
        <v>1403</v>
      </c>
    </row>
    <row r="397" spans="1:9" s="7" customFormat="1" ht="15.75" x14ac:dyDescent="0.25">
      <c r="B397" s="6"/>
      <c r="C397" s="6"/>
    </row>
    <row r="398" spans="1:9" s="7" customFormat="1" ht="15.75" x14ac:dyDescent="0.25">
      <c r="B398" s="6"/>
      <c r="C398" s="6"/>
    </row>
    <row r="399" spans="1:9" s="7" customFormat="1" ht="15.75" x14ac:dyDescent="0.25">
      <c r="B399" s="6" t="s">
        <v>1117</v>
      </c>
      <c r="C399" s="6"/>
      <c r="E399" s="7" t="s">
        <v>1118</v>
      </c>
    </row>
    <row r="400" spans="1:9" ht="15.75" x14ac:dyDescent="0.25">
      <c r="B400" s="97"/>
      <c r="C400" s="97"/>
      <c r="G400" s="7"/>
    </row>
  </sheetData>
  <mergeCells count="15">
    <mergeCell ref="A1:I1"/>
    <mergeCell ref="A2:I2"/>
    <mergeCell ref="A9:A10"/>
    <mergeCell ref="B9:B10"/>
    <mergeCell ref="C9:C10"/>
    <mergeCell ref="D9:D10"/>
    <mergeCell ref="E9:E10"/>
    <mergeCell ref="F9:F10"/>
    <mergeCell ref="G9:I9"/>
    <mergeCell ref="A315:A325"/>
    <mergeCell ref="A326:A390"/>
    <mergeCell ref="A253:A260"/>
    <mergeCell ref="A270:A274"/>
    <mergeCell ref="A154:A156"/>
    <mergeCell ref="A164:A176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0"/>
  <sheetViews>
    <sheetView topLeftCell="A20" zoomScale="78" zoomScaleNormal="78" workbookViewId="0">
      <selection activeCell="B43" sqref="B43"/>
    </sheetView>
  </sheetViews>
  <sheetFormatPr defaultRowHeight="15" x14ac:dyDescent="0.25"/>
  <cols>
    <col min="1" max="1" width="14.85546875" customWidth="1"/>
    <col min="2" max="2" width="21.5703125" customWidth="1"/>
    <col min="3" max="3" width="4.140625" customWidth="1"/>
    <col min="4" max="4" width="28.28515625" customWidth="1"/>
    <col min="5" max="5" width="20.5703125" customWidth="1"/>
    <col min="7" max="7" width="12.42578125" customWidth="1"/>
    <col min="8" max="8" width="14" customWidth="1"/>
    <col min="9" max="9" width="12.5703125" customWidth="1"/>
    <col min="10" max="10" width="12.140625" customWidth="1"/>
    <col min="11" max="12" width="14.42578125" customWidth="1"/>
  </cols>
  <sheetData>
    <row r="1" spans="1:12" s="45" customFormat="1" ht="18.75" x14ac:dyDescent="0.3">
      <c r="A1" s="2119" t="s">
        <v>1356</v>
      </c>
      <c r="B1" s="2119"/>
      <c r="C1" s="2119"/>
      <c r="D1" s="2119"/>
      <c r="E1" s="2119"/>
      <c r="F1" s="2119"/>
      <c r="G1" s="2119"/>
      <c r="H1" s="2119"/>
      <c r="I1" s="2119"/>
      <c r="J1" s="2119"/>
      <c r="K1" s="2119"/>
      <c r="L1" s="2119"/>
    </row>
    <row r="2" spans="1:12" s="45" customFormat="1" ht="18.75" x14ac:dyDescent="0.3">
      <c r="A2" s="2119" t="s">
        <v>1226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</row>
    <row r="3" spans="1:12" s="7" customFormat="1" ht="15.75" x14ac:dyDescent="0.25"/>
    <row r="4" spans="1:12" s="7" customFormat="1" ht="15.75" x14ac:dyDescent="0.25">
      <c r="A4" s="46" t="s">
        <v>1066</v>
      </c>
      <c r="B4" s="46" t="s">
        <v>1067</v>
      </c>
      <c r="C4" s="46"/>
    </row>
    <row r="5" spans="1:12" s="7" customFormat="1" ht="15.75" x14ac:dyDescent="0.25">
      <c r="A5" s="46" t="s">
        <v>1068</v>
      </c>
      <c r="B5" s="46" t="s">
        <v>1069</v>
      </c>
      <c r="C5" s="46"/>
    </row>
    <row r="6" spans="1:12" s="7" customFormat="1" ht="15.75" x14ac:dyDescent="0.25">
      <c r="A6" s="46" t="s">
        <v>1070</v>
      </c>
      <c r="B6" s="46" t="s">
        <v>1071</v>
      </c>
      <c r="C6" s="46"/>
    </row>
    <row r="7" spans="1:12" s="7" customFormat="1" ht="15.75" x14ac:dyDescent="0.25">
      <c r="A7" s="46" t="s">
        <v>1072</v>
      </c>
      <c r="B7" s="46" t="s">
        <v>1073</v>
      </c>
      <c r="C7" s="46"/>
    </row>
    <row r="8" spans="1:12" s="7" customFormat="1" ht="15.75" x14ac:dyDescent="0.25"/>
    <row r="9" spans="1:12" s="7" customFormat="1" ht="73.5" customHeight="1" x14ac:dyDescent="0.25">
      <c r="A9" s="2123" t="s">
        <v>1039</v>
      </c>
      <c r="B9" s="2166" t="s">
        <v>1074</v>
      </c>
      <c r="C9" s="2166"/>
      <c r="D9" s="2166"/>
      <c r="E9" s="2126" t="s">
        <v>1246</v>
      </c>
      <c r="F9" s="2123" t="s">
        <v>1077</v>
      </c>
      <c r="G9" s="2126" t="s">
        <v>1249</v>
      </c>
      <c r="H9" s="2126" t="s">
        <v>1079</v>
      </c>
      <c r="I9" s="2167" t="s">
        <v>1357</v>
      </c>
      <c r="J9" s="2167"/>
      <c r="K9" s="2167" t="s">
        <v>1358</v>
      </c>
      <c r="L9" s="2167"/>
    </row>
    <row r="10" spans="1:12" s="7" customFormat="1" ht="31.5" x14ac:dyDescent="0.25">
      <c r="A10" s="2125"/>
      <c r="B10" s="111" t="s">
        <v>1083</v>
      </c>
      <c r="C10" s="111"/>
      <c r="D10" s="112" t="s">
        <v>1359</v>
      </c>
      <c r="E10" s="2128"/>
      <c r="F10" s="2125"/>
      <c r="G10" s="2128"/>
      <c r="H10" s="2128"/>
      <c r="I10" s="112" t="s">
        <v>1256</v>
      </c>
      <c r="J10" s="111" t="s">
        <v>1086</v>
      </c>
      <c r="K10" s="112" t="s">
        <v>1256</v>
      </c>
      <c r="L10" s="113" t="s">
        <v>1360</v>
      </c>
    </row>
    <row r="11" spans="1:12" s="7" customFormat="1" ht="15.75" x14ac:dyDescent="0.25">
      <c r="A11" s="114" t="s">
        <v>1087</v>
      </c>
      <c r="B11" s="114" t="s">
        <v>1088</v>
      </c>
      <c r="C11" s="114" t="s">
        <v>1089</v>
      </c>
      <c r="D11" s="114" t="s">
        <v>1090</v>
      </c>
      <c r="E11" s="114" t="s">
        <v>1091</v>
      </c>
      <c r="F11" s="114" t="s">
        <v>1092</v>
      </c>
      <c r="G11" s="114" t="s">
        <v>1093</v>
      </c>
      <c r="H11" s="114" t="s">
        <v>1094</v>
      </c>
      <c r="I11" s="114" t="s">
        <v>1095</v>
      </c>
      <c r="J11" s="114" t="s">
        <v>1096</v>
      </c>
      <c r="K11" s="114" t="s">
        <v>1097</v>
      </c>
      <c r="L11" s="114" t="s">
        <v>1098</v>
      </c>
    </row>
    <row r="12" spans="1:12" s="7" customFormat="1" ht="12.75" customHeight="1" x14ac:dyDescent="0.25">
      <c r="A12" s="2073" t="s">
        <v>1361</v>
      </c>
      <c r="B12" s="2168" t="s">
        <v>57</v>
      </c>
      <c r="C12" s="13">
        <v>1</v>
      </c>
      <c r="D12" s="12"/>
      <c r="E12" s="12"/>
      <c r="F12" s="12"/>
      <c r="G12" s="12"/>
      <c r="H12" s="12"/>
      <c r="I12" s="12"/>
      <c r="J12" s="12"/>
      <c r="K12" s="12"/>
      <c r="L12" s="12"/>
    </row>
    <row r="13" spans="1:12" s="7" customFormat="1" ht="15.75" x14ac:dyDescent="0.25">
      <c r="A13" s="2073"/>
      <c r="B13" s="2169"/>
      <c r="C13" s="13">
        <v>2</v>
      </c>
      <c r="D13" s="12"/>
      <c r="E13" s="12"/>
      <c r="F13" s="12"/>
      <c r="G13" s="12"/>
      <c r="H13" s="12"/>
      <c r="I13" s="12"/>
      <c r="J13" s="12"/>
      <c r="K13" s="12"/>
      <c r="L13" s="12"/>
    </row>
    <row r="14" spans="1:12" s="7" customFormat="1" ht="15.75" x14ac:dyDescent="0.25">
      <c r="A14" s="2073"/>
      <c r="B14" s="2169"/>
      <c r="C14" s="13">
        <v>3</v>
      </c>
      <c r="D14" s="12"/>
      <c r="E14" s="12"/>
      <c r="F14" s="12"/>
      <c r="G14" s="12"/>
      <c r="H14" s="12"/>
      <c r="I14" s="12"/>
      <c r="J14" s="12"/>
      <c r="K14" s="12"/>
      <c r="L14" s="12"/>
    </row>
    <row r="15" spans="1:12" s="7" customFormat="1" ht="15.75" x14ac:dyDescent="0.25">
      <c r="A15" s="2073"/>
      <c r="B15" s="2170"/>
      <c r="C15" s="13">
        <v>4</v>
      </c>
      <c r="D15" s="12"/>
      <c r="E15" s="12"/>
      <c r="F15" s="12"/>
      <c r="G15" s="12"/>
      <c r="H15" s="12"/>
      <c r="I15" s="12"/>
      <c r="J15" s="12"/>
      <c r="K15" s="12"/>
      <c r="L15" s="12"/>
    </row>
    <row r="16" spans="1:12" s="7" customFormat="1" ht="30" customHeight="1" x14ac:dyDescent="0.25">
      <c r="A16" s="2163" t="s">
        <v>1362</v>
      </c>
      <c r="B16" s="2164"/>
      <c r="C16" s="2164"/>
      <c r="D16" s="2164"/>
      <c r="E16" s="2164"/>
      <c r="F16" s="2164"/>
      <c r="G16" s="2164"/>
      <c r="H16" s="2165"/>
      <c r="I16" s="15"/>
      <c r="J16" s="15"/>
      <c r="K16" s="15"/>
      <c r="L16" s="15"/>
    </row>
    <row r="17" spans="1:12" s="7" customFormat="1" ht="12.75" customHeight="1" x14ac:dyDescent="0.25">
      <c r="A17" s="2073" t="s">
        <v>1363</v>
      </c>
      <c r="B17" s="2168" t="s">
        <v>839</v>
      </c>
      <c r="C17" s="13">
        <v>1</v>
      </c>
      <c r="D17" s="12"/>
      <c r="E17" s="12"/>
      <c r="F17" s="12"/>
      <c r="G17" s="12"/>
      <c r="H17" s="12"/>
      <c r="I17" s="12"/>
      <c r="J17" s="12"/>
      <c r="K17" s="12"/>
      <c r="L17" s="12"/>
    </row>
    <row r="18" spans="1:12" s="7" customFormat="1" ht="15.75" x14ac:dyDescent="0.25">
      <c r="A18" s="2073"/>
      <c r="B18" s="2169"/>
      <c r="C18" s="13">
        <v>2</v>
      </c>
      <c r="D18" s="12"/>
      <c r="E18" s="12"/>
      <c r="F18" s="12"/>
      <c r="G18" s="12"/>
      <c r="H18" s="12"/>
      <c r="I18" s="12"/>
      <c r="J18" s="12"/>
      <c r="K18" s="12"/>
      <c r="L18" s="12"/>
    </row>
    <row r="19" spans="1:12" s="7" customFormat="1" ht="15.75" x14ac:dyDescent="0.25">
      <c r="A19" s="2073"/>
      <c r="B19" s="2169"/>
      <c r="C19" s="13">
        <v>3</v>
      </c>
      <c r="D19" s="12"/>
      <c r="E19" s="12"/>
      <c r="F19" s="12"/>
      <c r="G19" s="12"/>
      <c r="H19" s="12"/>
      <c r="I19" s="12"/>
      <c r="J19" s="12"/>
      <c r="K19" s="12"/>
      <c r="L19" s="12"/>
    </row>
    <row r="20" spans="1:12" s="7" customFormat="1" ht="15.75" x14ac:dyDescent="0.25">
      <c r="A20" s="2073"/>
      <c r="B20" s="2170"/>
      <c r="C20" s="13">
        <v>4</v>
      </c>
      <c r="D20" s="12"/>
      <c r="E20" s="12"/>
      <c r="F20" s="12"/>
      <c r="G20" s="12"/>
      <c r="H20" s="12"/>
      <c r="I20" s="12"/>
      <c r="J20" s="12"/>
      <c r="K20" s="12"/>
      <c r="L20" s="12"/>
    </row>
    <row r="21" spans="1:12" s="7" customFormat="1" ht="30" customHeight="1" x14ac:dyDescent="0.25">
      <c r="A21" s="2163" t="s">
        <v>1109</v>
      </c>
      <c r="B21" s="2164"/>
      <c r="C21" s="2164"/>
      <c r="D21" s="2164"/>
      <c r="E21" s="2164"/>
      <c r="F21" s="2164"/>
      <c r="G21" s="2164"/>
      <c r="H21" s="2165"/>
      <c r="I21" s="15"/>
      <c r="J21" s="15"/>
      <c r="K21" s="15"/>
      <c r="L21" s="15"/>
    </row>
    <row r="22" spans="1:12" s="7" customFormat="1" ht="12.75" customHeight="1" x14ac:dyDescent="0.25">
      <c r="A22" s="2073" t="s">
        <v>1364</v>
      </c>
      <c r="B22" s="2168" t="s">
        <v>1110</v>
      </c>
      <c r="C22" s="13">
        <v>1</v>
      </c>
      <c r="D22" s="12"/>
      <c r="E22" s="12"/>
      <c r="F22" s="12"/>
      <c r="G22" s="12"/>
      <c r="H22" s="12"/>
      <c r="I22" s="12"/>
      <c r="J22" s="12"/>
      <c r="K22" s="12"/>
      <c r="L22" s="12"/>
    </row>
    <row r="23" spans="1:12" s="7" customFormat="1" ht="15.75" x14ac:dyDescent="0.25">
      <c r="A23" s="2073"/>
      <c r="B23" s="2169"/>
      <c r="C23" s="13">
        <v>2</v>
      </c>
      <c r="D23" s="12"/>
      <c r="E23" s="12"/>
      <c r="F23" s="12"/>
      <c r="G23" s="12"/>
      <c r="H23" s="12"/>
      <c r="I23" s="12"/>
      <c r="J23" s="12"/>
      <c r="K23" s="12"/>
      <c r="L23" s="12"/>
    </row>
    <row r="24" spans="1:12" s="7" customFormat="1" ht="15.75" x14ac:dyDescent="0.25">
      <c r="A24" s="2073"/>
      <c r="B24" s="2169"/>
      <c r="C24" s="13">
        <v>3</v>
      </c>
      <c r="D24" s="12"/>
      <c r="E24" s="12"/>
      <c r="F24" s="12"/>
      <c r="G24" s="12"/>
      <c r="H24" s="12"/>
      <c r="I24" s="12"/>
      <c r="J24" s="12"/>
      <c r="K24" s="12"/>
      <c r="L24" s="12"/>
    </row>
    <row r="25" spans="1:12" s="7" customFormat="1" ht="15.75" x14ac:dyDescent="0.25">
      <c r="A25" s="2073"/>
      <c r="B25" s="2170"/>
      <c r="C25" s="13">
        <v>4</v>
      </c>
      <c r="D25" s="12"/>
      <c r="E25" s="12"/>
      <c r="F25" s="12"/>
      <c r="G25" s="12"/>
      <c r="H25" s="12"/>
      <c r="I25" s="12"/>
      <c r="J25" s="12"/>
      <c r="K25" s="12"/>
      <c r="L25" s="12"/>
    </row>
    <row r="26" spans="1:12" s="7" customFormat="1" ht="30" customHeight="1" x14ac:dyDescent="0.25">
      <c r="A26" s="2163" t="s">
        <v>1112</v>
      </c>
      <c r="B26" s="2164"/>
      <c r="C26" s="2164"/>
      <c r="D26" s="2164"/>
      <c r="E26" s="2164"/>
      <c r="F26" s="2164"/>
      <c r="G26" s="2164"/>
      <c r="H26" s="2165"/>
      <c r="I26" s="15"/>
      <c r="J26" s="15"/>
      <c r="K26" s="15"/>
      <c r="L26" s="15"/>
    </row>
    <row r="27" spans="1:12" s="7" customFormat="1" ht="12.75" customHeight="1" x14ac:dyDescent="0.25">
      <c r="A27" s="2073" t="s">
        <v>1365</v>
      </c>
      <c r="B27" s="2168" t="s">
        <v>1113</v>
      </c>
      <c r="C27" s="13">
        <v>1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1:12" s="7" customFormat="1" ht="15.75" x14ac:dyDescent="0.25">
      <c r="A28" s="2073"/>
      <c r="B28" s="2169"/>
      <c r="C28" s="13">
        <v>2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1:12" s="7" customFormat="1" ht="15.75" x14ac:dyDescent="0.25">
      <c r="A29" s="2073"/>
      <c r="B29" s="2169"/>
      <c r="C29" s="13">
        <v>3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1:12" s="7" customFormat="1" ht="15.75" x14ac:dyDescent="0.25">
      <c r="A30" s="2073"/>
      <c r="B30" s="2170"/>
      <c r="C30" s="13">
        <v>4</v>
      </c>
      <c r="D30" s="12"/>
      <c r="E30" s="12"/>
      <c r="F30" s="12"/>
      <c r="G30" s="12"/>
      <c r="H30" s="12"/>
      <c r="I30" s="12"/>
      <c r="J30" s="12"/>
      <c r="K30" s="12"/>
      <c r="L30" s="12"/>
    </row>
    <row r="31" spans="1:12" s="7" customFormat="1" ht="30" customHeight="1" x14ac:dyDescent="0.25">
      <c r="A31" s="2163" t="s">
        <v>1114</v>
      </c>
      <c r="B31" s="2164"/>
      <c r="C31" s="2164"/>
      <c r="D31" s="2164"/>
      <c r="E31" s="2164"/>
      <c r="F31" s="2164"/>
      <c r="G31" s="2164"/>
      <c r="H31" s="2165"/>
      <c r="I31" s="15"/>
      <c r="J31" s="15"/>
      <c r="K31" s="15"/>
      <c r="L31" s="15"/>
    </row>
    <row r="32" spans="1:12" s="7" customFormat="1" ht="15.75" x14ac:dyDescent="0.25">
      <c r="A32" s="2096"/>
      <c r="B32" s="2096"/>
      <c r="C32" s="2096"/>
      <c r="D32" s="2096"/>
      <c r="E32" s="2096"/>
      <c r="F32" s="2096"/>
      <c r="G32" s="2096"/>
      <c r="H32" s="2096"/>
      <c r="I32" s="2096"/>
      <c r="J32" s="2096"/>
      <c r="K32" s="2096"/>
      <c r="L32" s="2096"/>
    </row>
    <row r="33" spans="2:8" s="7" customFormat="1" ht="15.75" x14ac:dyDescent="0.25"/>
    <row r="34" spans="2:8" s="7" customFormat="1" ht="15.75" x14ac:dyDescent="0.25">
      <c r="H34" s="7" t="s">
        <v>1404</v>
      </c>
    </row>
    <row r="35" spans="2:8" s="7" customFormat="1" ht="15.75" x14ac:dyDescent="0.25">
      <c r="B35" s="2096" t="s">
        <v>1332</v>
      </c>
      <c r="C35" s="2096"/>
      <c r="D35" s="2096"/>
      <c r="H35" s="7" t="s">
        <v>1116</v>
      </c>
    </row>
    <row r="36" spans="2:8" s="7" customFormat="1" ht="15.75" x14ac:dyDescent="0.25">
      <c r="B36" s="2096" t="s">
        <v>1405</v>
      </c>
      <c r="C36" s="2096"/>
      <c r="D36" s="2096"/>
      <c r="H36" s="7" t="s">
        <v>1403</v>
      </c>
    </row>
    <row r="37" spans="2:8" s="7" customFormat="1" ht="15.75" x14ac:dyDescent="0.25"/>
    <row r="38" spans="2:8" s="7" customFormat="1" ht="15.75" x14ac:dyDescent="0.25"/>
    <row r="39" spans="2:8" s="7" customFormat="1" ht="15.75" x14ac:dyDescent="0.25"/>
    <row r="40" spans="2:8" s="7" customFormat="1" ht="15.75" x14ac:dyDescent="0.25">
      <c r="B40" s="2096" t="s">
        <v>1117</v>
      </c>
      <c r="C40" s="2096"/>
      <c r="D40" s="2096"/>
      <c r="H40" s="7" t="s">
        <v>1118</v>
      </c>
    </row>
  </sheetData>
  <mergeCells count="26">
    <mergeCell ref="A32:L32"/>
    <mergeCell ref="B35:D35"/>
    <mergeCell ref="B36:D36"/>
    <mergeCell ref="B40:D40"/>
    <mergeCell ref="A22:A25"/>
    <mergeCell ref="B22:B25"/>
    <mergeCell ref="A26:H26"/>
    <mergeCell ref="A27:A30"/>
    <mergeCell ref="B27:B30"/>
    <mergeCell ref="A31:H31"/>
    <mergeCell ref="A21:H21"/>
    <mergeCell ref="A1:L1"/>
    <mergeCell ref="A2:L2"/>
    <mergeCell ref="A9:A10"/>
    <mergeCell ref="B9:D9"/>
    <mergeCell ref="E9:E10"/>
    <mergeCell ref="F9:F10"/>
    <mergeCell ref="G9:G10"/>
    <mergeCell ref="H9:H10"/>
    <mergeCell ref="I9:J9"/>
    <mergeCell ref="K9:L9"/>
    <mergeCell ref="A12:A15"/>
    <mergeCell ref="B12:B15"/>
    <mergeCell ref="A16:H16"/>
    <mergeCell ref="A17:A20"/>
    <mergeCell ref="B17:B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6"/>
  <sheetViews>
    <sheetView topLeftCell="A18" workbookViewId="0">
      <selection sqref="A1:XFD46"/>
    </sheetView>
  </sheetViews>
  <sheetFormatPr defaultRowHeight="15" x14ac:dyDescent="0.25"/>
  <cols>
    <col min="2" max="2" width="16.28515625" customWidth="1"/>
    <col min="3" max="3" width="3.5703125" customWidth="1"/>
    <col min="4" max="4" width="14.140625" customWidth="1"/>
    <col min="5" max="5" width="24.7109375" customWidth="1"/>
    <col min="7" max="7" width="12.140625" customWidth="1"/>
    <col min="8" max="8" width="12.85546875" bestFit="1" customWidth="1"/>
    <col min="9" max="9" width="10" bestFit="1" customWidth="1"/>
    <col min="10" max="10" width="11.85546875" bestFit="1" customWidth="1"/>
    <col min="11" max="11" width="14.7109375" customWidth="1"/>
    <col min="13" max="13" width="15.140625" customWidth="1"/>
    <col min="14" max="14" width="14.42578125" customWidth="1"/>
    <col min="15" max="15" width="9.42578125" bestFit="1" customWidth="1"/>
    <col min="16" max="16" width="12.85546875" bestFit="1" customWidth="1"/>
  </cols>
  <sheetData>
    <row r="1" spans="1:16" s="7" customFormat="1" ht="15.75" x14ac:dyDescent="0.25">
      <c r="A1" s="2096" t="s">
        <v>1367</v>
      </c>
      <c r="B1" s="2096"/>
      <c r="C1" s="2096"/>
      <c r="D1" s="2096"/>
      <c r="E1" s="2096"/>
      <c r="F1" s="2096"/>
      <c r="G1" s="2096"/>
      <c r="H1" s="2096"/>
      <c r="I1" s="2096"/>
      <c r="J1" s="2096"/>
      <c r="K1" s="2096"/>
      <c r="L1" s="2096"/>
      <c r="M1" s="2096"/>
      <c r="N1" s="2096"/>
      <c r="O1" s="2096"/>
      <c r="P1" s="2096"/>
    </row>
    <row r="2" spans="1:16" s="7" customFormat="1" ht="15.75" x14ac:dyDescent="0.25">
      <c r="A2" s="2096" t="s">
        <v>1368</v>
      </c>
      <c r="B2" s="2096"/>
      <c r="C2" s="2096"/>
      <c r="D2" s="2096"/>
      <c r="E2" s="2096"/>
      <c r="F2" s="2096"/>
      <c r="G2" s="2096"/>
      <c r="H2" s="2096"/>
      <c r="I2" s="2096"/>
      <c r="J2" s="2096"/>
      <c r="K2" s="2096"/>
      <c r="L2" s="2096"/>
      <c r="M2" s="2096"/>
      <c r="N2" s="2096"/>
      <c r="O2" s="2096"/>
      <c r="P2" s="2096"/>
    </row>
    <row r="3" spans="1:16" s="7" customFormat="1" ht="15.75" x14ac:dyDescent="0.25"/>
    <row r="4" spans="1:16" s="7" customFormat="1" ht="15.75" x14ac:dyDescent="0.25">
      <c r="A4" s="7" t="s">
        <v>1066</v>
      </c>
      <c r="B4" s="7" t="s">
        <v>1369</v>
      </c>
    </row>
    <row r="5" spans="1:16" s="7" customFormat="1" ht="15.75" x14ac:dyDescent="0.25">
      <c r="A5" s="7" t="s">
        <v>1068</v>
      </c>
      <c r="B5" s="7" t="s">
        <v>1369</v>
      </c>
    </row>
    <row r="6" spans="1:16" s="7" customFormat="1" ht="15.75" x14ac:dyDescent="0.25">
      <c r="A6" s="7" t="s">
        <v>1370</v>
      </c>
      <c r="B6" s="7" t="s">
        <v>1369</v>
      </c>
    </row>
    <row r="7" spans="1:16" s="7" customFormat="1" ht="15.75" x14ac:dyDescent="0.25">
      <c r="A7" s="7" t="s">
        <v>1072</v>
      </c>
      <c r="B7" s="7" t="s">
        <v>1369</v>
      </c>
    </row>
    <row r="8" spans="1:16" s="7" customFormat="1" ht="15.75" x14ac:dyDescent="0.25"/>
    <row r="9" spans="1:16" s="7" customFormat="1" ht="45" customHeight="1" x14ac:dyDescent="0.25">
      <c r="A9" s="10" t="s">
        <v>1039</v>
      </c>
      <c r="B9" s="2073" t="s">
        <v>1074</v>
      </c>
      <c r="C9" s="2073"/>
      <c r="D9" s="2073"/>
      <c r="E9" s="2073"/>
      <c r="F9" s="10" t="s">
        <v>1077</v>
      </c>
      <c r="G9" s="11" t="s">
        <v>1078</v>
      </c>
      <c r="H9" s="10" t="s">
        <v>1371</v>
      </c>
      <c r="I9" s="2074" t="s">
        <v>1372</v>
      </c>
      <c r="J9" s="2074"/>
      <c r="K9" s="2074"/>
      <c r="L9" s="2074"/>
      <c r="M9" s="2074" t="s">
        <v>1373</v>
      </c>
      <c r="N9" s="2074"/>
      <c r="O9" s="2073" t="s">
        <v>1374</v>
      </c>
      <c r="P9" s="2073"/>
    </row>
    <row r="10" spans="1:16" s="7" customFormat="1" ht="31.5" x14ac:dyDescent="0.25">
      <c r="A10" s="12"/>
      <c r="B10" s="10" t="s">
        <v>1083</v>
      </c>
      <c r="C10" s="10"/>
      <c r="D10" s="10" t="s">
        <v>1228</v>
      </c>
      <c r="E10" s="11" t="s">
        <v>1252</v>
      </c>
      <c r="F10" s="10"/>
      <c r="G10" s="10"/>
      <c r="H10" s="10"/>
      <c r="I10" s="10" t="s">
        <v>26</v>
      </c>
      <c r="J10" s="10" t="s">
        <v>1375</v>
      </c>
      <c r="K10" s="10" t="s">
        <v>1376</v>
      </c>
      <c r="L10" s="10" t="s">
        <v>1255</v>
      </c>
      <c r="M10" s="10" t="s">
        <v>1377</v>
      </c>
      <c r="N10" s="10" t="s">
        <v>1378</v>
      </c>
      <c r="O10" s="10" t="s">
        <v>1379</v>
      </c>
      <c r="P10" s="10" t="s">
        <v>1371</v>
      </c>
    </row>
    <row r="11" spans="1:16" s="7" customFormat="1" ht="15.75" x14ac:dyDescent="0.25">
      <c r="A11" s="13" t="s">
        <v>1087</v>
      </c>
      <c r="B11" s="13" t="s">
        <v>1088</v>
      </c>
      <c r="C11" s="13" t="s">
        <v>1089</v>
      </c>
      <c r="D11" s="13" t="s">
        <v>1090</v>
      </c>
      <c r="E11" s="13" t="s">
        <v>1091</v>
      </c>
      <c r="F11" s="13" t="s">
        <v>1092</v>
      </c>
      <c r="G11" s="13" t="s">
        <v>1093</v>
      </c>
      <c r="H11" s="13" t="s">
        <v>1094</v>
      </c>
      <c r="I11" s="13" t="s">
        <v>1095</v>
      </c>
      <c r="J11" s="13" t="s">
        <v>1096</v>
      </c>
      <c r="K11" s="13" t="s">
        <v>1097</v>
      </c>
      <c r="L11" s="13" t="s">
        <v>1098</v>
      </c>
      <c r="M11" s="13" t="s">
        <v>488</v>
      </c>
      <c r="N11" s="13" t="s">
        <v>1099</v>
      </c>
      <c r="O11" s="13" t="s">
        <v>1100</v>
      </c>
      <c r="P11" s="13" t="s">
        <v>1380</v>
      </c>
    </row>
    <row r="12" spans="1:16" s="7" customFormat="1" ht="15.75" x14ac:dyDescent="0.25">
      <c r="A12" s="2073">
        <v>1</v>
      </c>
      <c r="B12" s="2074" t="s">
        <v>1381</v>
      </c>
      <c r="C12" s="13" t="s">
        <v>1087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s="7" customFormat="1" ht="15.75" x14ac:dyDescent="0.25">
      <c r="A13" s="2073"/>
      <c r="B13" s="2074"/>
      <c r="C13" s="13" t="s">
        <v>1088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s="7" customFormat="1" ht="15.75" x14ac:dyDescent="0.25">
      <c r="A14" s="2073"/>
      <c r="B14" s="2074"/>
      <c r="C14" s="13" t="s">
        <v>1089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7" customFormat="1" ht="15.75" x14ac:dyDescent="0.25">
      <c r="A15" s="2073"/>
      <c r="B15" s="2074"/>
      <c r="C15" s="13" t="s">
        <v>1090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7" customFormat="1" ht="15.75" x14ac:dyDescent="0.25">
      <c r="A16" s="2073">
        <v>2</v>
      </c>
      <c r="B16" s="2074" t="s">
        <v>839</v>
      </c>
      <c r="C16" s="13" t="s">
        <v>1087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7" customFormat="1" ht="15.75" x14ac:dyDescent="0.25">
      <c r="A17" s="2073"/>
      <c r="B17" s="2074"/>
      <c r="C17" s="13" t="s">
        <v>1088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7" customFormat="1" ht="15.75" x14ac:dyDescent="0.25">
      <c r="A18" s="2073"/>
      <c r="B18" s="2074"/>
      <c r="C18" s="13" t="s">
        <v>1089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7" customFormat="1" ht="15.75" x14ac:dyDescent="0.25">
      <c r="A19" s="2073"/>
      <c r="B19" s="2074"/>
      <c r="C19" s="13" t="s">
        <v>1090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7" customFormat="1" ht="15.75" x14ac:dyDescent="0.25">
      <c r="A20" s="2073">
        <v>3</v>
      </c>
      <c r="B20" s="2074" t="s">
        <v>1110</v>
      </c>
      <c r="C20" s="13" t="s">
        <v>1087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7" customFormat="1" ht="15.75" x14ac:dyDescent="0.25">
      <c r="A21" s="2073"/>
      <c r="B21" s="2074"/>
      <c r="C21" s="13" t="s">
        <v>1088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7" customFormat="1" ht="15.75" x14ac:dyDescent="0.25">
      <c r="A22" s="2073"/>
      <c r="B22" s="2074"/>
      <c r="C22" s="13" t="s">
        <v>1089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7" customFormat="1" ht="15.75" x14ac:dyDescent="0.25">
      <c r="A23" s="2073"/>
      <c r="B23" s="2074"/>
      <c r="C23" s="13" t="s">
        <v>1090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s="7" customFormat="1" ht="15.75" x14ac:dyDescent="0.25">
      <c r="A24" s="2073">
        <v>4</v>
      </c>
      <c r="B24" s="2074" t="s">
        <v>1113</v>
      </c>
      <c r="C24" s="13" t="s">
        <v>1087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7" customFormat="1" ht="15.75" x14ac:dyDescent="0.25">
      <c r="A25" s="2073"/>
      <c r="B25" s="2074"/>
      <c r="C25" s="13" t="s">
        <v>1088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7" customFormat="1" ht="15.75" x14ac:dyDescent="0.25">
      <c r="A26" s="2073"/>
      <c r="B26" s="2074"/>
      <c r="C26" s="13" t="s">
        <v>1089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7" customFormat="1" ht="15.75" x14ac:dyDescent="0.25">
      <c r="A27" s="2073"/>
      <c r="B27" s="2074"/>
      <c r="C27" s="13" t="s">
        <v>1090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s="7" customFormat="1" ht="15.75" x14ac:dyDescent="0.25">
      <c r="A28" s="2171" t="s">
        <v>1284</v>
      </c>
      <c r="B28" s="2171"/>
      <c r="C28" s="2171"/>
      <c r="D28" s="2171"/>
      <c r="E28" s="2171"/>
      <c r="F28" s="2171"/>
      <c r="G28" s="2171"/>
      <c r="H28" s="2171"/>
      <c r="I28" s="2171"/>
      <c r="J28" s="2171"/>
      <c r="K28" s="2171"/>
      <c r="L28" s="2171"/>
      <c r="M28" s="2171"/>
      <c r="N28" s="2171"/>
      <c r="O28" s="2171"/>
      <c r="P28" s="2171"/>
    </row>
    <row r="29" spans="1:16" s="7" customFormat="1" ht="15.75" x14ac:dyDescent="0.25"/>
    <row r="30" spans="1:16" s="7" customFormat="1" ht="15.75" x14ac:dyDescent="0.25"/>
    <row r="31" spans="1:16" s="7" customFormat="1" ht="15.75" x14ac:dyDescent="0.25">
      <c r="D31" s="7" t="s">
        <v>1332</v>
      </c>
      <c r="M31" s="7" t="s">
        <v>1382</v>
      </c>
    </row>
    <row r="32" spans="1:16" s="7" customFormat="1" ht="15.75" x14ac:dyDescent="0.25">
      <c r="D32" s="7" t="s">
        <v>1285</v>
      </c>
      <c r="M32" s="7" t="s">
        <v>1383</v>
      </c>
    </row>
    <row r="33" spans="4:13" s="7" customFormat="1" ht="15.75" x14ac:dyDescent="0.25"/>
    <row r="34" spans="4:13" s="7" customFormat="1" ht="15.75" x14ac:dyDescent="0.25"/>
    <row r="35" spans="4:13" s="7" customFormat="1" ht="15.75" x14ac:dyDescent="0.25"/>
    <row r="36" spans="4:13" s="7" customFormat="1" ht="15.75" x14ac:dyDescent="0.25">
      <c r="D36" s="7" t="s">
        <v>1384</v>
      </c>
      <c r="M36" s="7" t="s">
        <v>1385</v>
      </c>
    </row>
    <row r="37" spans="4:13" s="7" customFormat="1" ht="15.75" x14ac:dyDescent="0.25"/>
    <row r="38" spans="4:13" s="7" customFormat="1" ht="15.75" x14ac:dyDescent="0.25"/>
    <row r="39" spans="4:13" s="7" customFormat="1" ht="15.75" x14ac:dyDescent="0.25"/>
    <row r="40" spans="4:13" s="7" customFormat="1" ht="15.75" x14ac:dyDescent="0.25"/>
    <row r="41" spans="4:13" s="7" customFormat="1" ht="15.75" x14ac:dyDescent="0.25"/>
    <row r="42" spans="4:13" s="7" customFormat="1" ht="15.75" x14ac:dyDescent="0.25"/>
    <row r="43" spans="4:13" s="7" customFormat="1" ht="15.75" x14ac:dyDescent="0.25"/>
    <row r="44" spans="4:13" s="7" customFormat="1" ht="15.75" x14ac:dyDescent="0.25"/>
    <row r="45" spans="4:13" s="7" customFormat="1" ht="15.75" x14ac:dyDescent="0.25"/>
    <row r="46" spans="4:13" s="7" customFormat="1" ht="15.75" x14ac:dyDescent="0.25"/>
  </sheetData>
  <mergeCells count="15">
    <mergeCell ref="A24:A27"/>
    <mergeCell ref="B24:B27"/>
    <mergeCell ref="A28:P28"/>
    <mergeCell ref="A12:A15"/>
    <mergeCell ref="B12:B15"/>
    <mergeCell ref="A16:A19"/>
    <mergeCell ref="B16:B19"/>
    <mergeCell ref="A20:A23"/>
    <mergeCell ref="B20:B23"/>
    <mergeCell ref="A1:P1"/>
    <mergeCell ref="A2:P2"/>
    <mergeCell ref="B9:E9"/>
    <mergeCell ref="I9:L9"/>
    <mergeCell ref="M9:N9"/>
    <mergeCell ref="O9:P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0"/>
  <sheetViews>
    <sheetView workbookViewId="0">
      <selection activeCell="G14" sqref="G14"/>
    </sheetView>
  </sheetViews>
  <sheetFormatPr defaultRowHeight="15" x14ac:dyDescent="0.25"/>
  <cols>
    <col min="1" max="1" width="14.85546875" customWidth="1"/>
    <col min="2" max="2" width="21.5703125" customWidth="1"/>
    <col min="3" max="3" width="4.140625" customWidth="1"/>
    <col min="4" max="4" width="28.28515625" customWidth="1"/>
    <col min="5" max="5" width="20.5703125" customWidth="1"/>
    <col min="7" max="7" width="12.42578125" customWidth="1"/>
    <col min="8" max="8" width="12.140625" customWidth="1"/>
    <col min="9" max="9" width="12.5703125" customWidth="1"/>
    <col min="10" max="10" width="12.140625" customWidth="1"/>
    <col min="11" max="12" width="14.42578125" customWidth="1"/>
  </cols>
  <sheetData>
    <row r="1" spans="1:12" ht="18.75" x14ac:dyDescent="0.3">
      <c r="A1" s="2119" t="s">
        <v>1386</v>
      </c>
      <c r="B1" s="2119"/>
      <c r="C1" s="2119"/>
      <c r="D1" s="2119"/>
      <c r="E1" s="2119"/>
      <c r="F1" s="2119"/>
      <c r="G1" s="2119"/>
      <c r="H1" s="2119"/>
      <c r="I1" s="2119"/>
      <c r="J1" s="2119"/>
      <c r="K1" s="2119"/>
      <c r="L1" s="2119"/>
    </row>
    <row r="2" spans="1:12" ht="18.75" x14ac:dyDescent="0.3">
      <c r="A2" s="2119" t="s">
        <v>1245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</row>
    <row r="3" spans="1:12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.75" x14ac:dyDescent="0.25">
      <c r="A4" s="46" t="s">
        <v>1066</v>
      </c>
      <c r="B4" s="46" t="s">
        <v>1067</v>
      </c>
      <c r="C4" s="46"/>
      <c r="D4" s="7"/>
      <c r="E4" s="7"/>
      <c r="F4" s="7"/>
      <c r="G4" s="7"/>
      <c r="H4" s="7"/>
      <c r="I4" s="7"/>
      <c r="J4" s="7"/>
      <c r="K4" s="7"/>
      <c r="L4" s="7"/>
    </row>
    <row r="5" spans="1:12" ht="15.75" x14ac:dyDescent="0.25">
      <c r="A5" s="46" t="s">
        <v>1068</v>
      </c>
      <c r="B5" s="46" t="s">
        <v>1069</v>
      </c>
      <c r="C5" s="46"/>
      <c r="D5" s="7"/>
      <c r="E5" s="7"/>
      <c r="F5" s="7"/>
      <c r="G5" s="7"/>
      <c r="H5" s="7"/>
      <c r="I5" s="7"/>
      <c r="J5" s="7"/>
      <c r="K5" s="7"/>
      <c r="L5" s="7"/>
    </row>
    <row r="6" spans="1:12" ht="15.75" x14ac:dyDescent="0.25">
      <c r="A6" s="46" t="s">
        <v>1070</v>
      </c>
      <c r="B6" s="46" t="s">
        <v>1071</v>
      </c>
      <c r="C6" s="46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25">
      <c r="A7" s="46" t="s">
        <v>1072</v>
      </c>
      <c r="B7" s="46" t="s">
        <v>1073</v>
      </c>
      <c r="C7" s="46"/>
      <c r="D7" s="7"/>
      <c r="E7" s="7"/>
      <c r="F7" s="7"/>
      <c r="G7" s="7"/>
      <c r="H7" s="7"/>
      <c r="I7" s="7"/>
      <c r="J7" s="7"/>
      <c r="K7" s="7"/>
      <c r="L7" s="7"/>
    </row>
    <row r="8" spans="1:12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3" customHeight="1" x14ac:dyDescent="0.25">
      <c r="A9" s="2123" t="s">
        <v>1039</v>
      </c>
      <c r="B9" s="2166" t="s">
        <v>1074</v>
      </c>
      <c r="C9" s="2166"/>
      <c r="D9" s="2166"/>
      <c r="E9" s="2126" t="s">
        <v>1246</v>
      </c>
      <c r="F9" s="2123" t="s">
        <v>1077</v>
      </c>
      <c r="G9" s="2126" t="s">
        <v>1249</v>
      </c>
      <c r="H9" s="2126" t="s">
        <v>1079</v>
      </c>
      <c r="I9" s="2167" t="s">
        <v>1357</v>
      </c>
      <c r="J9" s="2167"/>
      <c r="K9" s="2167" t="s">
        <v>1358</v>
      </c>
      <c r="L9" s="2167"/>
    </row>
    <row r="10" spans="1:12" ht="31.5" x14ac:dyDescent="0.25">
      <c r="A10" s="2125"/>
      <c r="B10" s="111" t="s">
        <v>1083</v>
      </c>
      <c r="C10" s="111"/>
      <c r="D10" s="112" t="s">
        <v>1359</v>
      </c>
      <c r="E10" s="2128"/>
      <c r="F10" s="2125"/>
      <c r="G10" s="2128"/>
      <c r="H10" s="2128"/>
      <c r="I10" s="112" t="s">
        <v>1256</v>
      </c>
      <c r="J10" s="111" t="s">
        <v>1086</v>
      </c>
      <c r="K10" s="112" t="s">
        <v>1256</v>
      </c>
      <c r="L10" s="113" t="s">
        <v>1360</v>
      </c>
    </row>
    <row r="11" spans="1:12" ht="15.75" x14ac:dyDescent="0.25">
      <c r="A11" s="114" t="s">
        <v>1087</v>
      </c>
      <c r="B11" s="114" t="s">
        <v>1088</v>
      </c>
      <c r="C11" s="114" t="s">
        <v>1089</v>
      </c>
      <c r="D11" s="114" t="s">
        <v>1090</v>
      </c>
      <c r="E11" s="114" t="s">
        <v>1091</v>
      </c>
      <c r="F11" s="114" t="s">
        <v>1092</v>
      </c>
      <c r="G11" s="114" t="s">
        <v>1093</v>
      </c>
      <c r="H11" s="114" t="s">
        <v>1094</v>
      </c>
      <c r="I11" s="114" t="s">
        <v>1095</v>
      </c>
      <c r="J11" s="114" t="s">
        <v>1096</v>
      </c>
      <c r="K11" s="114" t="s">
        <v>1097</v>
      </c>
      <c r="L11" s="114" t="s">
        <v>1098</v>
      </c>
    </row>
    <row r="12" spans="1:12" ht="15.75" x14ac:dyDescent="0.25">
      <c r="A12" s="2073" t="s">
        <v>1361</v>
      </c>
      <c r="B12" s="2168" t="s">
        <v>57</v>
      </c>
      <c r="C12" s="13">
        <v>1</v>
      </c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.75" x14ac:dyDescent="0.25">
      <c r="A13" s="2073"/>
      <c r="B13" s="2169"/>
      <c r="C13" s="13">
        <v>2</v>
      </c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5.75" x14ac:dyDescent="0.25">
      <c r="A14" s="2073"/>
      <c r="B14" s="2169"/>
      <c r="C14" s="13">
        <v>3</v>
      </c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5.75" x14ac:dyDescent="0.25">
      <c r="A15" s="2073"/>
      <c r="B15" s="2170"/>
      <c r="C15" s="13">
        <v>4</v>
      </c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15.75" x14ac:dyDescent="0.25">
      <c r="A16" s="2163" t="s">
        <v>1362</v>
      </c>
      <c r="B16" s="2164"/>
      <c r="C16" s="2164"/>
      <c r="D16" s="2164"/>
      <c r="E16" s="2164"/>
      <c r="F16" s="2164"/>
      <c r="G16" s="2164"/>
      <c r="H16" s="2165"/>
      <c r="I16" s="15"/>
      <c r="J16" s="15"/>
      <c r="K16" s="15"/>
      <c r="L16" s="15"/>
    </row>
    <row r="17" spans="1:12" ht="15.75" x14ac:dyDescent="0.25">
      <c r="A17" s="2073" t="s">
        <v>1363</v>
      </c>
      <c r="B17" s="2168" t="s">
        <v>839</v>
      </c>
      <c r="C17" s="13">
        <v>1</v>
      </c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5.75" x14ac:dyDescent="0.25">
      <c r="A18" s="2073"/>
      <c r="B18" s="2169"/>
      <c r="C18" s="13">
        <v>2</v>
      </c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5.75" x14ac:dyDescent="0.25">
      <c r="A19" s="2073"/>
      <c r="B19" s="2169"/>
      <c r="C19" s="13">
        <v>3</v>
      </c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15.75" x14ac:dyDescent="0.25">
      <c r="A20" s="2073"/>
      <c r="B20" s="2170"/>
      <c r="C20" s="13">
        <v>4</v>
      </c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.75" x14ac:dyDescent="0.25">
      <c r="A21" s="2163" t="s">
        <v>1109</v>
      </c>
      <c r="B21" s="2164"/>
      <c r="C21" s="2164"/>
      <c r="D21" s="2164"/>
      <c r="E21" s="2164"/>
      <c r="F21" s="2164"/>
      <c r="G21" s="2164"/>
      <c r="H21" s="2165"/>
      <c r="I21" s="15"/>
      <c r="J21" s="15"/>
      <c r="K21" s="15"/>
      <c r="L21" s="15"/>
    </row>
    <row r="22" spans="1:12" ht="15.75" x14ac:dyDescent="0.25">
      <c r="A22" s="2073" t="s">
        <v>1364</v>
      </c>
      <c r="B22" s="2168" t="s">
        <v>1110</v>
      </c>
      <c r="C22" s="13">
        <v>1</v>
      </c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5.75" x14ac:dyDescent="0.25">
      <c r="A23" s="2073"/>
      <c r="B23" s="2169"/>
      <c r="C23" s="13">
        <v>2</v>
      </c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5.75" x14ac:dyDescent="0.25">
      <c r="A24" s="2073"/>
      <c r="B24" s="2169"/>
      <c r="C24" s="13">
        <v>3</v>
      </c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.75" x14ac:dyDescent="0.25">
      <c r="A25" s="2073"/>
      <c r="B25" s="2170"/>
      <c r="C25" s="13">
        <v>4</v>
      </c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 x14ac:dyDescent="0.25">
      <c r="A26" s="2163" t="s">
        <v>1112</v>
      </c>
      <c r="B26" s="2164"/>
      <c r="C26" s="2164"/>
      <c r="D26" s="2164"/>
      <c r="E26" s="2164"/>
      <c r="F26" s="2164"/>
      <c r="G26" s="2164"/>
      <c r="H26" s="2165"/>
      <c r="I26" s="15"/>
      <c r="J26" s="15"/>
      <c r="K26" s="15"/>
      <c r="L26" s="15"/>
    </row>
    <row r="27" spans="1:12" ht="15.75" x14ac:dyDescent="0.25">
      <c r="A27" s="2073" t="s">
        <v>1365</v>
      </c>
      <c r="B27" s="2168" t="s">
        <v>1113</v>
      </c>
      <c r="C27" s="13">
        <v>1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5.75" x14ac:dyDescent="0.25">
      <c r="A28" s="2073"/>
      <c r="B28" s="2169"/>
      <c r="C28" s="13">
        <v>2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5.75" x14ac:dyDescent="0.25">
      <c r="A29" s="2073"/>
      <c r="B29" s="2169"/>
      <c r="C29" s="13">
        <v>3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5" x14ac:dyDescent="0.25">
      <c r="A30" s="2073"/>
      <c r="B30" s="2170"/>
      <c r="C30" s="13">
        <v>4</v>
      </c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75" x14ac:dyDescent="0.25">
      <c r="A31" s="2163" t="s">
        <v>1114</v>
      </c>
      <c r="B31" s="2164"/>
      <c r="C31" s="2164"/>
      <c r="D31" s="2164"/>
      <c r="E31" s="2164"/>
      <c r="F31" s="2164"/>
      <c r="G31" s="2164"/>
      <c r="H31" s="2165"/>
      <c r="I31" s="15"/>
      <c r="J31" s="15"/>
      <c r="K31" s="15"/>
      <c r="L31" s="15"/>
    </row>
    <row r="32" spans="1:12" ht="15.75" x14ac:dyDescent="0.25">
      <c r="A32" s="2096"/>
      <c r="B32" s="2096"/>
      <c r="C32" s="2096"/>
      <c r="D32" s="2096"/>
      <c r="E32" s="2096"/>
      <c r="F32" s="2096"/>
      <c r="G32" s="2096"/>
      <c r="H32" s="2096"/>
      <c r="I32" s="2096"/>
      <c r="J32" s="2096"/>
      <c r="K32" s="2096"/>
      <c r="L32" s="2096"/>
    </row>
    <row r="33" spans="1:12" ht="15.7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.75" x14ac:dyDescent="0.25">
      <c r="A34" s="7"/>
      <c r="B34" s="7"/>
      <c r="C34" s="7"/>
      <c r="D34" s="7"/>
      <c r="E34" s="7"/>
      <c r="F34" s="7"/>
      <c r="G34" s="7"/>
      <c r="H34" s="7" t="s">
        <v>1366</v>
      </c>
      <c r="I34" s="7"/>
      <c r="J34" s="7"/>
      <c r="K34" s="7"/>
      <c r="L34" s="7"/>
    </row>
    <row r="35" spans="1:12" ht="15.75" x14ac:dyDescent="0.25">
      <c r="A35" s="7"/>
      <c r="B35" s="2096" t="s">
        <v>1332</v>
      </c>
      <c r="C35" s="2096"/>
      <c r="D35" s="2096"/>
      <c r="E35" s="7"/>
      <c r="F35" s="7"/>
      <c r="G35" s="7"/>
      <c r="H35" s="7" t="s">
        <v>1116</v>
      </c>
      <c r="I35" s="7"/>
      <c r="J35" s="7"/>
      <c r="K35" s="7"/>
      <c r="L35" s="7"/>
    </row>
    <row r="36" spans="1:12" ht="15.75" x14ac:dyDescent="0.25">
      <c r="A36" s="7"/>
      <c r="B36" s="2096" t="s">
        <v>523</v>
      </c>
      <c r="C36" s="2096"/>
      <c r="D36" s="2096"/>
      <c r="E36" s="7"/>
      <c r="F36" s="7"/>
      <c r="G36" s="7"/>
      <c r="H36" s="7" t="s">
        <v>1333</v>
      </c>
      <c r="I36" s="7"/>
      <c r="J36" s="7"/>
      <c r="K36" s="7"/>
      <c r="L36" s="7"/>
    </row>
    <row r="37" spans="1:12" ht="15.7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.7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.75" x14ac:dyDescent="0.25">
      <c r="A40" s="7"/>
      <c r="B40" s="2096" t="s">
        <v>1117</v>
      </c>
      <c r="C40" s="2096"/>
      <c r="D40" s="2096"/>
      <c r="E40" s="7"/>
      <c r="F40" s="7"/>
      <c r="G40" s="7"/>
      <c r="H40" s="7" t="s">
        <v>1118</v>
      </c>
      <c r="I40" s="7"/>
      <c r="J40" s="7"/>
      <c r="K40" s="7"/>
      <c r="L40" s="7"/>
    </row>
  </sheetData>
  <mergeCells count="26">
    <mergeCell ref="A32:L32"/>
    <mergeCell ref="B35:D35"/>
    <mergeCell ref="B36:D36"/>
    <mergeCell ref="B40:D40"/>
    <mergeCell ref="A22:A25"/>
    <mergeCell ref="B22:B25"/>
    <mergeCell ref="A26:H26"/>
    <mergeCell ref="A27:A30"/>
    <mergeCell ref="B27:B30"/>
    <mergeCell ref="A31:H31"/>
    <mergeCell ref="A21:H21"/>
    <mergeCell ref="A1:L1"/>
    <mergeCell ref="A2:L2"/>
    <mergeCell ref="A9:A10"/>
    <mergeCell ref="B9:D9"/>
    <mergeCell ref="E9:E10"/>
    <mergeCell ref="F9:F10"/>
    <mergeCell ref="G9:G10"/>
    <mergeCell ref="H9:H10"/>
    <mergeCell ref="I9:J9"/>
    <mergeCell ref="K9:L9"/>
    <mergeCell ref="A12:A15"/>
    <mergeCell ref="B12:B15"/>
    <mergeCell ref="A16:H16"/>
    <mergeCell ref="A17:A20"/>
    <mergeCell ref="B17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166"/>
  <sheetViews>
    <sheetView zoomScaleNormal="100" workbookViewId="0">
      <pane ySplit="1200" topLeftCell="A2914" activePane="bottomLeft"/>
      <selection sqref="A1:G1"/>
      <selection pane="bottomLeft" activeCell="A2928" sqref="A2928:B2928"/>
    </sheetView>
  </sheetViews>
  <sheetFormatPr defaultColWidth="9.140625" defaultRowHeight="12" x14ac:dyDescent="0.2"/>
  <cols>
    <col min="1" max="1" width="14.140625" style="444" customWidth="1"/>
    <col min="2" max="2" width="21.5703125" style="444" customWidth="1"/>
    <col min="3" max="3" width="12" style="444" customWidth="1"/>
    <col min="4" max="4" width="7.28515625" style="444" customWidth="1"/>
    <col min="5" max="5" width="12" style="444" customWidth="1"/>
    <col min="6" max="6" width="14" style="444" customWidth="1"/>
    <col min="7" max="7" width="8.28515625" style="444" customWidth="1"/>
    <col min="8" max="8" width="13.5703125" style="444" customWidth="1"/>
    <col min="9" max="9" width="9.140625" style="444"/>
    <col min="10" max="10" width="17.5703125" style="444" customWidth="1"/>
    <col min="11" max="11" width="17" style="444" customWidth="1"/>
    <col min="12" max="12" width="17.140625" style="444" customWidth="1"/>
    <col min="13" max="13" width="15.140625" style="444" customWidth="1"/>
    <col min="14" max="14" width="11.85546875" style="444" customWidth="1"/>
    <col min="15" max="15" width="15.42578125" style="444" customWidth="1"/>
    <col min="16" max="17" width="14.140625" style="444" customWidth="1"/>
    <col min="18" max="18" width="17.5703125" style="444" customWidth="1"/>
    <col min="19" max="19" width="19.7109375" style="444" customWidth="1"/>
    <col min="20" max="20" width="15.85546875" style="444" customWidth="1"/>
    <col min="21" max="21" width="16.28515625" style="444" customWidth="1"/>
    <col min="22" max="22" width="14.28515625" style="444" bestFit="1" customWidth="1"/>
    <col min="23" max="23" width="15.140625" style="444" customWidth="1"/>
    <col min="24" max="25" width="11.85546875" style="444" customWidth="1"/>
    <col min="26" max="16384" width="9.140625" style="444"/>
  </cols>
  <sheetData>
    <row r="1" spans="1:25" customFormat="1" ht="15" x14ac:dyDescent="0.25">
      <c r="A1" s="1993" t="s">
        <v>0</v>
      </c>
      <c r="B1" s="1765"/>
      <c r="C1" s="1765"/>
      <c r="D1" s="1765"/>
      <c r="E1" s="1765"/>
      <c r="F1" s="1765"/>
      <c r="G1" s="1765"/>
      <c r="J1" t="s">
        <v>1711</v>
      </c>
      <c r="K1" t="s">
        <v>1409</v>
      </c>
      <c r="L1" t="s">
        <v>1845</v>
      </c>
      <c r="M1" t="s">
        <v>2565</v>
      </c>
      <c r="N1" t="s">
        <v>1605</v>
      </c>
      <c r="O1" t="s">
        <v>2566</v>
      </c>
      <c r="P1" t="s">
        <v>2567</v>
      </c>
      <c r="Q1" t="s">
        <v>1417</v>
      </c>
      <c r="R1" t="s">
        <v>2568</v>
      </c>
      <c r="S1" t="s">
        <v>2569</v>
      </c>
      <c r="T1" t="s">
        <v>2570</v>
      </c>
      <c r="U1" t="s">
        <v>2571</v>
      </c>
      <c r="V1" t="s">
        <v>2572</v>
      </c>
      <c r="W1" t="s">
        <v>2573</v>
      </c>
      <c r="X1" t="s">
        <v>2574</v>
      </c>
      <c r="Y1" t="s">
        <v>2575</v>
      </c>
    </row>
    <row r="2" spans="1:25" customFormat="1" ht="15" x14ac:dyDescent="0.25">
      <c r="A2" s="1765" t="s">
        <v>1</v>
      </c>
      <c r="B2" s="1765"/>
      <c r="C2" s="1765"/>
      <c r="D2" s="1765"/>
      <c r="E2" s="1765"/>
      <c r="F2" s="1765"/>
      <c r="G2" s="1765"/>
      <c r="J2" s="83">
        <f t="shared" ref="J2:Y2" si="0">SUM(J3:J3155)</f>
        <v>854641300</v>
      </c>
      <c r="K2" s="83">
        <f t="shared" si="0"/>
        <v>1426205640</v>
      </c>
      <c r="L2" s="83">
        <f t="shared" si="0"/>
        <v>224897754.80000001</v>
      </c>
      <c r="M2" s="83">
        <f t="shared" si="0"/>
        <v>15040000</v>
      </c>
      <c r="N2" s="83">
        <f t="shared" si="0"/>
        <v>0</v>
      </c>
      <c r="O2" s="83">
        <f t="shared" si="0"/>
        <v>0</v>
      </c>
      <c r="P2" s="83">
        <f t="shared" si="0"/>
        <v>21863550</v>
      </c>
      <c r="Q2" s="83">
        <f t="shared" si="0"/>
        <v>85782000</v>
      </c>
      <c r="R2" s="83">
        <f t="shared" si="0"/>
        <v>68256800</v>
      </c>
      <c r="S2" s="83">
        <f t="shared" si="0"/>
        <v>236084187.09</v>
      </c>
      <c r="T2" s="83">
        <f t="shared" si="0"/>
        <v>346852741</v>
      </c>
      <c r="U2" s="83">
        <f t="shared" si="0"/>
        <v>295252006</v>
      </c>
      <c r="V2" s="83">
        <f t="shared" si="0"/>
        <v>18126713.18</v>
      </c>
      <c r="W2" s="83">
        <f t="shared" si="0"/>
        <v>156459000</v>
      </c>
      <c r="X2" s="83">
        <f t="shared" si="0"/>
        <v>0</v>
      </c>
      <c r="Y2" s="83">
        <f t="shared" si="0"/>
        <v>0</v>
      </c>
    </row>
    <row r="3" spans="1:25" customFormat="1" ht="15" x14ac:dyDescent="0.25">
      <c r="A3" s="1765" t="s">
        <v>1769</v>
      </c>
      <c r="B3" s="1765"/>
      <c r="C3" s="1765"/>
      <c r="D3" s="1765"/>
      <c r="E3" s="1765"/>
      <c r="F3" s="1765"/>
      <c r="G3" s="1765"/>
    </row>
    <row r="4" spans="1:25" customFormat="1" ht="15" x14ac:dyDescent="0.25">
      <c r="A4" s="184"/>
      <c r="B4" s="184"/>
      <c r="C4" s="430"/>
      <c r="D4" s="430"/>
      <c r="E4" s="430"/>
      <c r="F4" s="430"/>
      <c r="G4" s="430"/>
    </row>
    <row r="5" spans="1:25" customFormat="1" ht="24.75" x14ac:dyDescent="0.25">
      <c r="A5" s="186" t="s">
        <v>570</v>
      </c>
      <c r="B5" s="187" t="s">
        <v>571</v>
      </c>
      <c r="C5" s="187"/>
      <c r="D5" s="187"/>
      <c r="E5" s="187"/>
      <c r="F5" s="187"/>
      <c r="G5" s="187"/>
    </row>
    <row r="6" spans="1:25" customFormat="1" ht="15" x14ac:dyDescent="0.25">
      <c r="A6" s="192" t="s">
        <v>572</v>
      </c>
      <c r="B6" s="187" t="s">
        <v>573</v>
      </c>
      <c r="C6" s="187"/>
      <c r="D6" s="187"/>
      <c r="E6" s="187"/>
      <c r="F6" s="227" t="s">
        <v>6</v>
      </c>
      <c r="G6" s="187"/>
    </row>
    <row r="7" spans="1:25" customFormat="1" ht="60.75" x14ac:dyDescent="0.25">
      <c r="A7" s="192" t="s">
        <v>362</v>
      </c>
      <c r="B7" s="187" t="s">
        <v>574</v>
      </c>
      <c r="C7" s="187"/>
      <c r="D7" s="187"/>
      <c r="E7" s="187"/>
      <c r="F7" s="195" t="s">
        <v>9</v>
      </c>
      <c r="G7" s="187"/>
    </row>
    <row r="8" spans="1:25" customFormat="1" ht="15" x14ac:dyDescent="0.25">
      <c r="A8" s="192" t="s">
        <v>35</v>
      </c>
      <c r="B8" s="187" t="s">
        <v>63</v>
      </c>
      <c r="C8" s="187"/>
      <c r="D8" s="187"/>
      <c r="E8" s="187"/>
      <c r="F8" s="187"/>
      <c r="G8" s="187"/>
    </row>
    <row r="9" spans="1:25" customFormat="1" ht="15" x14ac:dyDescent="0.25">
      <c r="A9" s="192" t="s">
        <v>10</v>
      </c>
      <c r="B9" s="187"/>
      <c r="C9" s="187"/>
      <c r="D9" s="187"/>
      <c r="E9" s="187"/>
      <c r="F9" s="187"/>
      <c r="G9" s="187"/>
    </row>
    <row r="10" spans="1:25" customFormat="1" ht="24" x14ac:dyDescent="0.25">
      <c r="A10" s="435" t="s">
        <v>575</v>
      </c>
      <c r="B10" s="435" t="s">
        <v>11</v>
      </c>
      <c r="C10" s="1950" t="s">
        <v>12</v>
      </c>
      <c r="D10" s="1951"/>
      <c r="E10" s="267" t="s">
        <v>13</v>
      </c>
      <c r="F10" s="198" t="s">
        <v>14</v>
      </c>
      <c r="G10" s="200" t="s">
        <v>329</v>
      </c>
    </row>
    <row r="11" spans="1:25" customFormat="1" ht="15" x14ac:dyDescent="0.25">
      <c r="A11" s="197">
        <v>1</v>
      </c>
      <c r="B11" s="197">
        <v>2</v>
      </c>
      <c r="C11" s="1994">
        <v>7</v>
      </c>
      <c r="D11" s="1994"/>
      <c r="E11" s="202">
        <v>8</v>
      </c>
      <c r="F11" s="202">
        <v>9</v>
      </c>
      <c r="G11" s="202">
        <v>12</v>
      </c>
    </row>
    <row r="12" spans="1:25" customFormat="1" ht="15" x14ac:dyDescent="0.25">
      <c r="A12" s="203" t="s">
        <v>576</v>
      </c>
      <c r="B12" s="360" t="s">
        <v>84</v>
      </c>
      <c r="C12" s="198"/>
      <c r="D12" s="198"/>
      <c r="E12" s="198"/>
      <c r="F12" s="198"/>
      <c r="G12" s="198"/>
    </row>
    <row r="13" spans="1:25" customFormat="1" ht="24.75" x14ac:dyDescent="0.25">
      <c r="A13" s="203" t="s">
        <v>577</v>
      </c>
      <c r="B13" s="436" t="s">
        <v>86</v>
      </c>
      <c r="C13" s="213"/>
      <c r="D13" s="213"/>
      <c r="E13" s="213"/>
      <c r="F13" s="213"/>
      <c r="G13" s="213"/>
    </row>
    <row r="14" spans="1:25" customFormat="1" ht="24.75" x14ac:dyDescent="0.25">
      <c r="A14" s="203" t="s">
        <v>578</v>
      </c>
      <c r="B14" s="437" t="s">
        <v>88</v>
      </c>
      <c r="C14" s="213"/>
      <c r="D14" s="213"/>
      <c r="E14" s="213"/>
      <c r="F14" s="213"/>
      <c r="G14" s="213"/>
    </row>
    <row r="15" spans="1:25" customFormat="1" ht="15" x14ac:dyDescent="0.25">
      <c r="A15" s="203"/>
      <c r="B15" s="437" t="s">
        <v>579</v>
      </c>
      <c r="C15" s="213"/>
      <c r="D15" s="213"/>
      <c r="E15" s="213"/>
      <c r="F15" s="424"/>
      <c r="G15" s="213"/>
    </row>
    <row r="16" spans="1:25" customFormat="1" ht="15" x14ac:dyDescent="0.25">
      <c r="A16" s="212"/>
      <c r="B16" s="213" t="s">
        <v>580</v>
      </c>
      <c r="C16" s="199">
        <v>6</v>
      </c>
      <c r="D16" s="197" t="s">
        <v>178</v>
      </c>
      <c r="E16" s="215">
        <v>15840</v>
      </c>
      <c r="F16" s="215">
        <f t="shared" ref="F16:F32" si="1">E16*C16</f>
        <v>95040</v>
      </c>
      <c r="G16" s="213" t="s">
        <v>1409</v>
      </c>
      <c r="J16" s="36"/>
      <c r="K16" s="36">
        <f>F16</f>
        <v>95040</v>
      </c>
      <c r="S16" s="36"/>
    </row>
    <row r="17" spans="1:19" customFormat="1" ht="15" x14ac:dyDescent="0.25">
      <c r="A17" s="212"/>
      <c r="B17" s="213" t="s">
        <v>581</v>
      </c>
      <c r="C17" s="199">
        <v>20</v>
      </c>
      <c r="D17" s="197" t="s">
        <v>95</v>
      </c>
      <c r="E17" s="215">
        <v>6500</v>
      </c>
      <c r="F17" s="215">
        <f t="shared" si="1"/>
        <v>130000</v>
      </c>
      <c r="G17" s="213" t="s">
        <v>1409</v>
      </c>
      <c r="J17" s="36"/>
      <c r="K17" s="36">
        <f>F17</f>
        <v>130000</v>
      </c>
      <c r="S17" s="36"/>
    </row>
    <row r="18" spans="1:19" customFormat="1" ht="15" x14ac:dyDescent="0.25">
      <c r="A18" s="212"/>
      <c r="B18" s="213" t="s">
        <v>582</v>
      </c>
      <c r="C18" s="199">
        <v>3</v>
      </c>
      <c r="D18" s="197" t="s">
        <v>95</v>
      </c>
      <c r="E18" s="215">
        <v>50400</v>
      </c>
      <c r="F18" s="215">
        <f t="shared" si="1"/>
        <v>151200</v>
      </c>
      <c r="G18" s="213" t="s">
        <v>1409</v>
      </c>
      <c r="J18" s="36"/>
      <c r="K18" s="36">
        <f t="shared" ref="K18:K41" si="2">F18</f>
        <v>151200</v>
      </c>
      <c r="S18" s="36"/>
    </row>
    <row r="19" spans="1:19" customFormat="1" ht="15" x14ac:dyDescent="0.25">
      <c r="A19" s="212"/>
      <c r="B19" s="213" t="s">
        <v>2780</v>
      </c>
      <c r="C19" s="199">
        <v>5</v>
      </c>
      <c r="D19" s="197" t="s">
        <v>89</v>
      </c>
      <c r="E19" s="215">
        <v>70000</v>
      </c>
      <c r="F19" s="215">
        <f t="shared" si="1"/>
        <v>350000</v>
      </c>
      <c r="G19" s="213" t="s">
        <v>1409</v>
      </c>
      <c r="J19" s="36"/>
      <c r="K19" s="36">
        <f t="shared" si="2"/>
        <v>350000</v>
      </c>
      <c r="S19" s="36"/>
    </row>
    <row r="20" spans="1:19" customFormat="1" ht="15" x14ac:dyDescent="0.25">
      <c r="A20" s="212"/>
      <c r="B20" s="213" t="s">
        <v>2779</v>
      </c>
      <c r="C20" s="199">
        <v>14</v>
      </c>
      <c r="D20" s="197" t="s">
        <v>89</v>
      </c>
      <c r="E20" s="215">
        <v>70000</v>
      </c>
      <c r="F20" s="215">
        <f>E20*C20</f>
        <v>980000</v>
      </c>
      <c r="G20" s="213" t="s">
        <v>1409</v>
      </c>
      <c r="J20" s="36"/>
      <c r="K20" s="36">
        <f t="shared" si="2"/>
        <v>980000</v>
      </c>
      <c r="S20" s="36"/>
    </row>
    <row r="21" spans="1:19" customFormat="1" ht="15" x14ac:dyDescent="0.25">
      <c r="A21" s="212"/>
      <c r="B21" s="213" t="s">
        <v>2784</v>
      </c>
      <c r="C21" s="199">
        <f>73*2</f>
        <v>146</v>
      </c>
      <c r="D21" s="197" t="s">
        <v>95</v>
      </c>
      <c r="E21" s="215">
        <v>3600</v>
      </c>
      <c r="F21" s="215">
        <f t="shared" si="1"/>
        <v>525600</v>
      </c>
      <c r="G21" s="213" t="s">
        <v>1409</v>
      </c>
      <c r="J21" s="36"/>
      <c r="K21" s="36">
        <f t="shared" si="2"/>
        <v>525600</v>
      </c>
      <c r="S21" s="36"/>
    </row>
    <row r="22" spans="1:19" customFormat="1" ht="15" x14ac:dyDescent="0.25">
      <c r="A22" s="212"/>
      <c r="B22" s="213" t="s">
        <v>583</v>
      </c>
      <c r="C22" s="199">
        <v>4</v>
      </c>
      <c r="D22" s="197" t="s">
        <v>123</v>
      </c>
      <c r="E22" s="215">
        <v>30000</v>
      </c>
      <c r="F22" s="215">
        <f t="shared" si="1"/>
        <v>120000</v>
      </c>
      <c r="G22" s="213" t="s">
        <v>1409</v>
      </c>
      <c r="J22" s="36"/>
      <c r="K22" s="36">
        <f t="shared" si="2"/>
        <v>120000</v>
      </c>
      <c r="S22" s="36"/>
    </row>
    <row r="23" spans="1:19" customFormat="1" ht="15" x14ac:dyDescent="0.25">
      <c r="A23" s="212"/>
      <c r="B23" s="213" t="s">
        <v>584</v>
      </c>
      <c r="C23" s="199">
        <v>4</v>
      </c>
      <c r="D23" s="197" t="s">
        <v>95</v>
      </c>
      <c r="E23" s="215">
        <v>50000</v>
      </c>
      <c r="F23" s="215">
        <f t="shared" si="1"/>
        <v>200000</v>
      </c>
      <c r="G23" s="213" t="s">
        <v>1409</v>
      </c>
      <c r="J23" s="36"/>
      <c r="K23" s="36">
        <f t="shared" si="2"/>
        <v>200000</v>
      </c>
      <c r="S23" s="36"/>
    </row>
    <row r="24" spans="1:19" customFormat="1" ht="15" x14ac:dyDescent="0.25">
      <c r="A24" s="212"/>
      <c r="B24" s="213" t="s">
        <v>2044</v>
      </c>
      <c r="C24" s="199">
        <v>4</v>
      </c>
      <c r="D24" s="197" t="s">
        <v>95</v>
      </c>
      <c r="E24" s="215">
        <v>9000</v>
      </c>
      <c r="F24" s="215">
        <f t="shared" si="1"/>
        <v>36000</v>
      </c>
      <c r="G24" s="213" t="s">
        <v>1409</v>
      </c>
      <c r="J24" s="36"/>
      <c r="K24" s="36">
        <f t="shared" si="2"/>
        <v>36000</v>
      </c>
      <c r="S24" s="36"/>
    </row>
    <row r="25" spans="1:19" customFormat="1" ht="15" x14ac:dyDescent="0.25">
      <c r="A25" s="212"/>
      <c r="B25" s="213" t="s">
        <v>585</v>
      </c>
      <c r="C25" s="199">
        <v>8</v>
      </c>
      <c r="D25" s="197" t="s">
        <v>95</v>
      </c>
      <c r="E25" s="215">
        <v>126000</v>
      </c>
      <c r="F25" s="215">
        <f t="shared" si="1"/>
        <v>1008000</v>
      </c>
      <c r="G25" s="213" t="s">
        <v>1409</v>
      </c>
      <c r="J25" s="36"/>
      <c r="K25" s="36">
        <f t="shared" si="2"/>
        <v>1008000</v>
      </c>
      <c r="S25" s="36"/>
    </row>
    <row r="26" spans="1:19" customFormat="1" ht="15" x14ac:dyDescent="0.25">
      <c r="A26" s="212"/>
      <c r="B26" s="213" t="s">
        <v>586</v>
      </c>
      <c r="C26" s="199">
        <v>6</v>
      </c>
      <c r="D26" s="197" t="s">
        <v>95</v>
      </c>
      <c r="E26" s="215">
        <v>126000</v>
      </c>
      <c r="F26" s="215">
        <f t="shared" si="1"/>
        <v>756000</v>
      </c>
      <c r="G26" s="213" t="s">
        <v>1409</v>
      </c>
      <c r="J26" s="36"/>
      <c r="K26" s="36">
        <f t="shared" si="2"/>
        <v>756000</v>
      </c>
      <c r="S26" s="36"/>
    </row>
    <row r="27" spans="1:19" customFormat="1" ht="15" x14ac:dyDescent="0.25">
      <c r="A27" s="212"/>
      <c r="B27" s="213" t="s">
        <v>2874</v>
      </c>
      <c r="C27" s="199">
        <v>8</v>
      </c>
      <c r="D27" s="197" t="s">
        <v>91</v>
      </c>
      <c r="E27" s="215">
        <v>126000</v>
      </c>
      <c r="F27" s="215">
        <f t="shared" si="1"/>
        <v>1008000</v>
      </c>
      <c r="G27" s="213" t="s">
        <v>1409</v>
      </c>
      <c r="J27" s="36"/>
      <c r="K27" s="36">
        <f t="shared" si="2"/>
        <v>1008000</v>
      </c>
      <c r="S27" s="36"/>
    </row>
    <row r="28" spans="1:19" customFormat="1" ht="15" x14ac:dyDescent="0.25">
      <c r="A28" s="212"/>
      <c r="B28" s="213" t="s">
        <v>2873</v>
      </c>
      <c r="C28" s="199">
        <v>2</v>
      </c>
      <c r="D28" s="197" t="s">
        <v>95</v>
      </c>
      <c r="E28" s="215">
        <v>13800</v>
      </c>
      <c r="F28" s="215">
        <f t="shared" si="1"/>
        <v>27600</v>
      </c>
      <c r="G28" s="213" t="s">
        <v>1409</v>
      </c>
      <c r="J28" s="36"/>
      <c r="K28" s="36">
        <f t="shared" si="2"/>
        <v>27600</v>
      </c>
      <c r="S28" s="36"/>
    </row>
    <row r="29" spans="1:19" customFormat="1" ht="15" x14ac:dyDescent="0.25">
      <c r="A29" s="212"/>
      <c r="B29" s="213" t="s">
        <v>587</v>
      </c>
      <c r="C29" s="199">
        <v>18</v>
      </c>
      <c r="D29" s="197" t="s">
        <v>95</v>
      </c>
      <c r="E29" s="215">
        <v>2600</v>
      </c>
      <c r="F29" s="215">
        <f t="shared" si="1"/>
        <v>46800</v>
      </c>
      <c r="G29" s="213" t="s">
        <v>1409</v>
      </c>
      <c r="J29" s="36"/>
      <c r="K29" s="36">
        <f t="shared" si="2"/>
        <v>46800</v>
      </c>
      <c r="S29" s="36"/>
    </row>
    <row r="30" spans="1:19" customFormat="1" ht="15" x14ac:dyDescent="0.25">
      <c r="A30" s="212"/>
      <c r="B30" s="213" t="s">
        <v>588</v>
      </c>
      <c r="C30" s="199">
        <v>40</v>
      </c>
      <c r="D30" s="197" t="s">
        <v>95</v>
      </c>
      <c r="E30" s="215">
        <v>1200</v>
      </c>
      <c r="F30" s="215">
        <f t="shared" si="1"/>
        <v>48000</v>
      </c>
      <c r="G30" s="213" t="s">
        <v>1409</v>
      </c>
      <c r="J30" s="36"/>
      <c r="K30" s="36">
        <f t="shared" si="2"/>
        <v>48000</v>
      </c>
      <c r="S30" s="36"/>
    </row>
    <row r="31" spans="1:19" customFormat="1" ht="15" x14ac:dyDescent="0.25">
      <c r="A31" s="212"/>
      <c r="B31" s="213" t="s">
        <v>589</v>
      </c>
      <c r="C31" s="199">
        <v>2</v>
      </c>
      <c r="D31" s="197" t="s">
        <v>322</v>
      </c>
      <c r="E31" s="215">
        <v>17000</v>
      </c>
      <c r="F31" s="215">
        <f t="shared" si="1"/>
        <v>34000</v>
      </c>
      <c r="G31" s="213" t="s">
        <v>1409</v>
      </c>
      <c r="J31" s="36"/>
      <c r="K31" s="36">
        <f t="shared" si="2"/>
        <v>34000</v>
      </c>
      <c r="S31" s="36"/>
    </row>
    <row r="32" spans="1:19" customFormat="1" ht="15" x14ac:dyDescent="0.25">
      <c r="A32" s="212"/>
      <c r="B32" s="213" t="s">
        <v>2045</v>
      </c>
      <c r="C32" s="199">
        <v>20</v>
      </c>
      <c r="D32" s="197" t="s">
        <v>322</v>
      </c>
      <c r="E32" s="215">
        <v>58000</v>
      </c>
      <c r="F32" s="215">
        <f t="shared" si="1"/>
        <v>1160000</v>
      </c>
      <c r="G32" s="213" t="s">
        <v>1409</v>
      </c>
      <c r="J32" s="36"/>
      <c r="K32" s="36">
        <f t="shared" si="2"/>
        <v>1160000</v>
      </c>
      <c r="S32" s="36"/>
    </row>
    <row r="33" spans="1:19" customFormat="1" ht="15" x14ac:dyDescent="0.25">
      <c r="A33" s="212"/>
      <c r="B33" s="213" t="s">
        <v>2875</v>
      </c>
      <c r="C33" s="199">
        <v>10</v>
      </c>
      <c r="D33" s="197" t="s">
        <v>322</v>
      </c>
      <c r="E33" s="215">
        <v>15000</v>
      </c>
      <c r="F33" s="215">
        <f>E33*C33</f>
        <v>150000</v>
      </c>
      <c r="G33" s="213" t="s">
        <v>1409</v>
      </c>
      <c r="J33" s="36"/>
      <c r="K33" s="36">
        <f t="shared" si="2"/>
        <v>150000</v>
      </c>
      <c r="S33" s="36"/>
    </row>
    <row r="34" spans="1:19" customFormat="1" ht="24.75" x14ac:dyDescent="0.25">
      <c r="A34" s="212"/>
      <c r="B34" s="213" t="s">
        <v>2046</v>
      </c>
      <c r="C34" s="199">
        <v>20</v>
      </c>
      <c r="D34" s="197" t="s">
        <v>276</v>
      </c>
      <c r="E34" s="215">
        <v>1500</v>
      </c>
      <c r="F34" s="215">
        <f t="shared" ref="F34:F47" si="3">E34*C34</f>
        <v>30000</v>
      </c>
      <c r="G34" s="213" t="s">
        <v>1409</v>
      </c>
      <c r="J34" s="36"/>
      <c r="K34" s="36">
        <f t="shared" si="2"/>
        <v>30000</v>
      </c>
      <c r="S34" s="36"/>
    </row>
    <row r="35" spans="1:19" customFormat="1" ht="15" x14ac:dyDescent="0.25">
      <c r="A35" s="212"/>
      <c r="B35" s="213" t="s">
        <v>2047</v>
      </c>
      <c r="C35" s="199">
        <v>3</v>
      </c>
      <c r="D35" s="197" t="s">
        <v>95</v>
      </c>
      <c r="E35" s="215">
        <v>8800</v>
      </c>
      <c r="F35" s="215">
        <f t="shared" si="3"/>
        <v>26400</v>
      </c>
      <c r="G35" s="213" t="s">
        <v>1409</v>
      </c>
      <c r="J35" s="36"/>
      <c r="K35" s="36">
        <f t="shared" si="2"/>
        <v>26400</v>
      </c>
      <c r="S35" s="36"/>
    </row>
    <row r="36" spans="1:19" customFormat="1" ht="15" x14ac:dyDescent="0.25">
      <c r="A36" s="212"/>
      <c r="B36" s="213" t="s">
        <v>2048</v>
      </c>
      <c r="C36" s="199">
        <v>3</v>
      </c>
      <c r="D36" s="197" t="s">
        <v>95</v>
      </c>
      <c r="E36" s="215">
        <v>34000</v>
      </c>
      <c r="F36" s="215">
        <f t="shared" si="3"/>
        <v>102000</v>
      </c>
      <c r="G36" s="213" t="s">
        <v>1409</v>
      </c>
      <c r="J36" s="36"/>
      <c r="K36" s="36">
        <f t="shared" si="2"/>
        <v>102000</v>
      </c>
      <c r="S36" s="36"/>
    </row>
    <row r="37" spans="1:19" customFormat="1" ht="15" x14ac:dyDescent="0.25">
      <c r="A37" s="212"/>
      <c r="B37" s="213" t="s">
        <v>2049</v>
      </c>
      <c r="C37" s="199">
        <v>4</v>
      </c>
      <c r="D37" s="197" t="s">
        <v>2050</v>
      </c>
      <c r="E37" s="215">
        <v>32000</v>
      </c>
      <c r="F37" s="215">
        <f t="shared" si="3"/>
        <v>128000</v>
      </c>
      <c r="G37" s="213" t="s">
        <v>1409</v>
      </c>
      <c r="J37" s="36"/>
      <c r="K37" s="36">
        <f t="shared" si="2"/>
        <v>128000</v>
      </c>
      <c r="S37" s="36"/>
    </row>
    <row r="38" spans="1:19" customFormat="1" ht="15" x14ac:dyDescent="0.25">
      <c r="A38" s="212"/>
      <c r="B38" s="238" t="s">
        <v>2043</v>
      </c>
      <c r="C38" s="199">
        <v>4</v>
      </c>
      <c r="D38" s="197" t="s">
        <v>95</v>
      </c>
      <c r="E38" s="239">
        <v>21000</v>
      </c>
      <c r="F38" s="215">
        <f t="shared" si="3"/>
        <v>84000</v>
      </c>
      <c r="G38" s="213" t="s">
        <v>1409</v>
      </c>
      <c r="J38" s="36"/>
      <c r="K38" s="36">
        <f t="shared" si="2"/>
        <v>84000</v>
      </c>
      <c r="S38" s="36"/>
    </row>
    <row r="39" spans="1:19" customFormat="1" ht="15" x14ac:dyDescent="0.25">
      <c r="A39" s="203"/>
      <c r="B39" s="213" t="s">
        <v>591</v>
      </c>
      <c r="C39" s="199">
        <v>1</v>
      </c>
      <c r="D39" s="197" t="s">
        <v>95</v>
      </c>
      <c r="E39" s="231">
        <v>190000</v>
      </c>
      <c r="F39" s="215">
        <f t="shared" si="3"/>
        <v>190000</v>
      </c>
      <c r="G39" s="213" t="s">
        <v>1409</v>
      </c>
      <c r="J39" s="36"/>
      <c r="K39" s="36">
        <f t="shared" si="2"/>
        <v>190000</v>
      </c>
      <c r="S39" s="36"/>
    </row>
    <row r="40" spans="1:19" customFormat="1" ht="15" x14ac:dyDescent="0.25">
      <c r="A40" s="203"/>
      <c r="B40" s="213" t="s">
        <v>592</v>
      </c>
      <c r="C40" s="199">
        <v>70</v>
      </c>
      <c r="D40" s="197" t="s">
        <v>95</v>
      </c>
      <c r="E40" s="231">
        <v>5000</v>
      </c>
      <c r="F40" s="215">
        <f t="shared" si="3"/>
        <v>350000</v>
      </c>
      <c r="G40" s="213" t="s">
        <v>1409</v>
      </c>
      <c r="J40" s="36"/>
      <c r="K40" s="36">
        <f t="shared" si="2"/>
        <v>350000</v>
      </c>
      <c r="S40" s="36"/>
    </row>
    <row r="41" spans="1:19" customFormat="1" ht="15" x14ac:dyDescent="0.25">
      <c r="A41" s="203"/>
      <c r="B41" s="213" t="s">
        <v>593</v>
      </c>
      <c r="C41" s="199">
        <v>70</v>
      </c>
      <c r="D41" s="197" t="s">
        <v>95</v>
      </c>
      <c r="E41" s="231">
        <v>7000</v>
      </c>
      <c r="F41" s="215">
        <f t="shared" si="3"/>
        <v>490000</v>
      </c>
      <c r="G41" s="213" t="s">
        <v>1409</v>
      </c>
      <c r="J41" s="36"/>
      <c r="K41" s="36">
        <f t="shared" si="2"/>
        <v>490000</v>
      </c>
      <c r="S41" s="36"/>
    </row>
    <row r="42" spans="1:19" customFormat="1" ht="15" x14ac:dyDescent="0.25">
      <c r="A42" s="203"/>
      <c r="B42" s="238" t="s">
        <v>594</v>
      </c>
      <c r="C42" s="199">
        <v>70</v>
      </c>
      <c r="D42" s="197" t="s">
        <v>95</v>
      </c>
      <c r="E42" s="239">
        <v>50000</v>
      </c>
      <c r="F42" s="215">
        <f t="shared" si="3"/>
        <v>3500000</v>
      </c>
      <c r="G42" s="213" t="s">
        <v>1845</v>
      </c>
      <c r="J42" s="36"/>
      <c r="K42" s="36"/>
      <c r="L42" s="36">
        <f t="shared" ref="L42:L47" si="4">F42</f>
        <v>3500000</v>
      </c>
      <c r="S42" s="36"/>
    </row>
    <row r="43" spans="1:19" customFormat="1" ht="15" x14ac:dyDescent="0.25">
      <c r="A43" s="203"/>
      <c r="B43" s="238" t="s">
        <v>595</v>
      </c>
      <c r="C43" s="199">
        <v>1</v>
      </c>
      <c r="D43" s="197" t="s">
        <v>178</v>
      </c>
      <c r="E43" s="239">
        <v>8000000</v>
      </c>
      <c r="F43" s="215">
        <f t="shared" si="3"/>
        <v>8000000</v>
      </c>
      <c r="G43" s="213" t="s">
        <v>1845</v>
      </c>
      <c r="J43" s="36"/>
      <c r="K43" s="36"/>
      <c r="L43" s="36">
        <f t="shared" si="4"/>
        <v>8000000</v>
      </c>
      <c r="S43" s="36"/>
    </row>
    <row r="44" spans="1:19" customFormat="1" ht="15" x14ac:dyDescent="0.25">
      <c r="A44" s="203"/>
      <c r="B44" s="238" t="s">
        <v>596</v>
      </c>
      <c r="C44" s="199">
        <v>1</v>
      </c>
      <c r="D44" s="197" t="s">
        <v>178</v>
      </c>
      <c r="E44" s="239">
        <v>1000000</v>
      </c>
      <c r="F44" s="215">
        <f t="shared" si="3"/>
        <v>1000000</v>
      </c>
      <c r="G44" s="213" t="s">
        <v>1845</v>
      </c>
      <c r="J44" s="36"/>
      <c r="K44" s="36"/>
      <c r="L44" s="36">
        <f t="shared" si="4"/>
        <v>1000000</v>
      </c>
      <c r="S44" s="36"/>
    </row>
    <row r="45" spans="1:19" customFormat="1" ht="15" x14ac:dyDescent="0.25">
      <c r="A45" s="203"/>
      <c r="B45" s="238" t="s">
        <v>597</v>
      </c>
      <c r="C45" s="199">
        <v>1</v>
      </c>
      <c r="D45" s="197" t="s">
        <v>178</v>
      </c>
      <c r="E45" s="239">
        <v>3086543</v>
      </c>
      <c r="F45" s="215">
        <f t="shared" si="3"/>
        <v>3086543</v>
      </c>
      <c r="G45" s="213" t="s">
        <v>1845</v>
      </c>
      <c r="H45" s="32"/>
      <c r="J45" s="36"/>
      <c r="K45" s="36"/>
      <c r="L45" s="36">
        <f t="shared" si="4"/>
        <v>3086543</v>
      </c>
      <c r="S45" s="36"/>
    </row>
    <row r="46" spans="1:19" customFormat="1" ht="15" x14ac:dyDescent="0.25">
      <c r="A46" s="203"/>
      <c r="B46" s="238" t="s">
        <v>2917</v>
      </c>
      <c r="C46" s="199">
        <v>6</v>
      </c>
      <c r="D46" s="197" t="s">
        <v>115</v>
      </c>
      <c r="E46" s="239">
        <v>1000000</v>
      </c>
      <c r="F46" s="215">
        <f t="shared" si="3"/>
        <v>6000000</v>
      </c>
      <c r="G46" s="213" t="s">
        <v>1845</v>
      </c>
      <c r="J46" s="36"/>
      <c r="K46" s="36"/>
      <c r="L46" s="36">
        <f t="shared" si="4"/>
        <v>6000000</v>
      </c>
      <c r="S46" s="36"/>
    </row>
    <row r="47" spans="1:19" customFormat="1" ht="15" x14ac:dyDescent="0.25">
      <c r="A47" s="203"/>
      <c r="B47" s="238" t="s">
        <v>598</v>
      </c>
      <c r="C47" s="199">
        <v>1</v>
      </c>
      <c r="D47" s="197" t="s">
        <v>115</v>
      </c>
      <c r="E47" s="239">
        <v>1000000</v>
      </c>
      <c r="F47" s="215">
        <f t="shared" si="3"/>
        <v>1000000</v>
      </c>
      <c r="G47" s="213" t="s">
        <v>1845</v>
      </c>
      <c r="J47" s="36"/>
      <c r="K47" s="36"/>
      <c r="L47" s="36">
        <f t="shared" si="4"/>
        <v>1000000</v>
      </c>
      <c r="S47" s="36"/>
    </row>
    <row r="48" spans="1:19" customFormat="1" ht="15" x14ac:dyDescent="0.25">
      <c r="A48" s="203"/>
      <c r="B48" s="361" t="s">
        <v>599</v>
      </c>
      <c r="C48" s="199"/>
      <c r="D48" s="197"/>
      <c r="E48" s="239"/>
      <c r="F48" s="215"/>
      <c r="G48" s="213"/>
      <c r="J48" s="36"/>
      <c r="S48" s="36"/>
    </row>
    <row r="49" spans="1:23" customFormat="1" ht="24.75" x14ac:dyDescent="0.25">
      <c r="A49" s="203"/>
      <c r="B49" s="238" t="s">
        <v>600</v>
      </c>
      <c r="C49" s="199">
        <v>70</v>
      </c>
      <c r="D49" s="197" t="s">
        <v>92</v>
      </c>
      <c r="E49" s="239">
        <v>24000</v>
      </c>
      <c r="F49" s="215">
        <f>E49*C49</f>
        <v>1680000</v>
      </c>
      <c r="G49" s="213" t="s">
        <v>2573</v>
      </c>
      <c r="J49" s="36"/>
      <c r="T49" s="36"/>
      <c r="W49" s="36">
        <f>F49</f>
        <v>1680000</v>
      </c>
    </row>
    <row r="50" spans="1:23" customFormat="1" ht="24.75" x14ac:dyDescent="0.25">
      <c r="A50" s="203"/>
      <c r="B50" s="238" t="s">
        <v>601</v>
      </c>
      <c r="C50" s="199">
        <v>300</v>
      </c>
      <c r="D50" s="197" t="s">
        <v>95</v>
      </c>
      <c r="E50" s="215">
        <v>5200</v>
      </c>
      <c r="F50" s="215">
        <f t="shared" ref="F50:F66" si="5">E50*C50</f>
        <v>1560000</v>
      </c>
      <c r="G50" s="213" t="s">
        <v>2573</v>
      </c>
      <c r="J50" s="36"/>
      <c r="T50" s="36"/>
      <c r="W50" s="36">
        <f>F50</f>
        <v>1560000</v>
      </c>
    </row>
    <row r="51" spans="1:23" customFormat="1" ht="24.75" x14ac:dyDescent="0.25">
      <c r="A51" s="203"/>
      <c r="B51" s="238" t="s">
        <v>2051</v>
      </c>
      <c r="C51" s="199">
        <v>420</v>
      </c>
      <c r="D51" s="197" t="s">
        <v>95</v>
      </c>
      <c r="E51" s="239">
        <v>12000</v>
      </c>
      <c r="F51" s="215">
        <f t="shared" si="5"/>
        <v>5040000</v>
      </c>
      <c r="G51" s="213" t="s">
        <v>2573</v>
      </c>
      <c r="J51" s="36"/>
      <c r="T51" s="36"/>
      <c r="W51" s="36">
        <f>F51</f>
        <v>5040000</v>
      </c>
    </row>
    <row r="52" spans="1:23" customFormat="1" ht="24.75" x14ac:dyDescent="0.25">
      <c r="A52" s="203"/>
      <c r="B52" s="238" t="s">
        <v>2052</v>
      </c>
      <c r="C52" s="199">
        <v>140</v>
      </c>
      <c r="D52" s="197" t="s">
        <v>507</v>
      </c>
      <c r="E52" s="239">
        <v>47000</v>
      </c>
      <c r="F52" s="215">
        <f t="shared" si="5"/>
        <v>6580000</v>
      </c>
      <c r="G52" s="213" t="s">
        <v>2568</v>
      </c>
      <c r="J52" s="36"/>
      <c r="R52" s="36">
        <f>F52</f>
        <v>6580000</v>
      </c>
      <c r="T52" s="36"/>
      <c r="W52" s="36"/>
    </row>
    <row r="53" spans="1:23" customFormat="1" ht="24.75" x14ac:dyDescent="0.25">
      <c r="A53" s="203"/>
      <c r="B53" s="238" t="s">
        <v>2053</v>
      </c>
      <c r="C53" s="199">
        <v>300</v>
      </c>
      <c r="D53" s="197" t="s">
        <v>95</v>
      </c>
      <c r="E53" s="239">
        <v>9000</v>
      </c>
      <c r="F53" s="215">
        <f t="shared" si="5"/>
        <v>2700000</v>
      </c>
      <c r="G53" s="213" t="s">
        <v>2573</v>
      </c>
      <c r="J53" s="36"/>
      <c r="T53" s="36"/>
      <c r="W53" s="36">
        <f t="shared" ref="W53:W66" si="6">F53</f>
        <v>2700000</v>
      </c>
    </row>
    <row r="54" spans="1:23" customFormat="1" ht="24.75" x14ac:dyDescent="0.25">
      <c r="A54" s="203"/>
      <c r="B54" s="238" t="s">
        <v>2054</v>
      </c>
      <c r="C54" s="199">
        <v>300</v>
      </c>
      <c r="D54" s="197" t="s">
        <v>95</v>
      </c>
      <c r="E54" s="239">
        <v>5900</v>
      </c>
      <c r="F54" s="215">
        <f t="shared" si="5"/>
        <v>1770000</v>
      </c>
      <c r="G54" s="213" t="s">
        <v>2573</v>
      </c>
      <c r="J54" s="36"/>
      <c r="T54" s="36"/>
      <c r="W54" s="36">
        <f t="shared" si="6"/>
        <v>1770000</v>
      </c>
    </row>
    <row r="55" spans="1:23" customFormat="1" ht="24.75" x14ac:dyDescent="0.25">
      <c r="A55" s="203"/>
      <c r="B55" s="238" t="s">
        <v>2055</v>
      </c>
      <c r="C55" s="199">
        <v>140</v>
      </c>
      <c r="D55" s="197" t="s">
        <v>95</v>
      </c>
      <c r="E55" s="239">
        <v>7500</v>
      </c>
      <c r="F55" s="215">
        <f t="shared" si="5"/>
        <v>1050000</v>
      </c>
      <c r="G55" s="213" t="s">
        <v>2573</v>
      </c>
      <c r="J55" s="36"/>
      <c r="T55" s="36"/>
      <c r="W55" s="36">
        <f t="shared" si="6"/>
        <v>1050000</v>
      </c>
    </row>
    <row r="56" spans="1:23" customFormat="1" ht="24.75" x14ac:dyDescent="0.25">
      <c r="A56" s="203"/>
      <c r="B56" s="238" t="s">
        <v>2056</v>
      </c>
      <c r="C56" s="199">
        <v>70</v>
      </c>
      <c r="D56" s="197" t="s">
        <v>95</v>
      </c>
      <c r="E56" s="239">
        <v>9600</v>
      </c>
      <c r="F56" s="215">
        <f t="shared" si="5"/>
        <v>672000</v>
      </c>
      <c r="G56" s="213" t="s">
        <v>2573</v>
      </c>
      <c r="J56" s="36"/>
      <c r="T56" s="36"/>
      <c r="W56" s="36">
        <f t="shared" si="6"/>
        <v>672000</v>
      </c>
    </row>
    <row r="57" spans="1:23" customFormat="1" ht="24.75" x14ac:dyDescent="0.25">
      <c r="A57" s="203"/>
      <c r="B57" s="238" t="s">
        <v>2057</v>
      </c>
      <c r="C57" s="199">
        <v>7</v>
      </c>
      <c r="D57" s="197" t="s">
        <v>89</v>
      </c>
      <c r="E57" s="239">
        <v>10000</v>
      </c>
      <c r="F57" s="215">
        <f t="shared" si="5"/>
        <v>70000</v>
      </c>
      <c r="G57" s="213" t="s">
        <v>2573</v>
      </c>
      <c r="J57" s="36"/>
      <c r="T57" s="36"/>
      <c r="W57" s="36">
        <f t="shared" si="6"/>
        <v>70000</v>
      </c>
    </row>
    <row r="58" spans="1:23" customFormat="1" ht="24.75" x14ac:dyDescent="0.25">
      <c r="A58" s="203"/>
      <c r="B58" s="238" t="s">
        <v>603</v>
      </c>
      <c r="C58" s="199">
        <v>70</v>
      </c>
      <c r="D58" s="197" t="s">
        <v>604</v>
      </c>
      <c r="E58" s="239">
        <v>220000</v>
      </c>
      <c r="F58" s="215">
        <f t="shared" si="5"/>
        <v>15400000</v>
      </c>
      <c r="G58" s="213" t="s">
        <v>2570</v>
      </c>
      <c r="J58" s="36"/>
      <c r="T58" s="36">
        <f>F58</f>
        <v>15400000</v>
      </c>
      <c r="W58" s="36"/>
    </row>
    <row r="59" spans="1:23" customFormat="1" ht="24.75" x14ac:dyDescent="0.25">
      <c r="A59" s="203"/>
      <c r="B59" s="238" t="s">
        <v>2058</v>
      </c>
      <c r="C59" s="199">
        <v>10</v>
      </c>
      <c r="D59" s="197" t="s">
        <v>507</v>
      </c>
      <c r="E59" s="239">
        <v>30000</v>
      </c>
      <c r="F59" s="215">
        <f t="shared" si="5"/>
        <v>300000</v>
      </c>
      <c r="G59" s="213" t="s">
        <v>2573</v>
      </c>
      <c r="J59" s="36"/>
      <c r="T59" s="36"/>
      <c r="W59" s="36">
        <f t="shared" si="6"/>
        <v>300000</v>
      </c>
    </row>
    <row r="60" spans="1:23" customFormat="1" ht="24.75" x14ac:dyDescent="0.25">
      <c r="A60" s="203"/>
      <c r="B60" s="238" t="s">
        <v>2059</v>
      </c>
      <c r="C60" s="199">
        <v>70</v>
      </c>
      <c r="D60" s="197" t="s">
        <v>95</v>
      </c>
      <c r="E60" s="239">
        <v>12000</v>
      </c>
      <c r="F60" s="215">
        <f t="shared" si="5"/>
        <v>840000</v>
      </c>
      <c r="G60" s="213" t="s">
        <v>2573</v>
      </c>
      <c r="J60" s="36"/>
      <c r="T60" s="36"/>
      <c r="W60" s="36">
        <f t="shared" si="6"/>
        <v>840000</v>
      </c>
    </row>
    <row r="61" spans="1:23" customFormat="1" ht="24.75" x14ac:dyDescent="0.25">
      <c r="A61" s="203"/>
      <c r="B61" s="238" t="s">
        <v>1437</v>
      </c>
      <c r="C61" s="199">
        <v>30</v>
      </c>
      <c r="D61" s="197" t="s">
        <v>507</v>
      </c>
      <c r="E61" s="239">
        <v>53000</v>
      </c>
      <c r="F61" s="215">
        <f t="shared" si="5"/>
        <v>1590000</v>
      </c>
      <c r="G61" s="213" t="s">
        <v>2573</v>
      </c>
      <c r="J61" s="36"/>
      <c r="T61" s="36"/>
      <c r="W61" s="36">
        <f t="shared" si="6"/>
        <v>1590000</v>
      </c>
    </row>
    <row r="62" spans="1:23" customFormat="1" ht="24.75" x14ac:dyDescent="0.25">
      <c r="A62" s="203"/>
      <c r="B62" s="238" t="s">
        <v>606</v>
      </c>
      <c r="C62" s="199">
        <v>70</v>
      </c>
      <c r="D62" s="197" t="s">
        <v>95</v>
      </c>
      <c r="E62" s="239">
        <v>10000</v>
      </c>
      <c r="F62" s="215">
        <f t="shared" si="5"/>
        <v>700000</v>
      </c>
      <c r="G62" s="213" t="s">
        <v>2573</v>
      </c>
      <c r="J62" s="36"/>
      <c r="T62" s="36"/>
      <c r="W62" s="36">
        <f t="shared" si="6"/>
        <v>700000</v>
      </c>
    </row>
    <row r="63" spans="1:23" customFormat="1" ht="24.75" x14ac:dyDescent="0.25">
      <c r="A63" s="203"/>
      <c r="B63" s="238" t="s">
        <v>2060</v>
      </c>
      <c r="C63" s="199">
        <v>72</v>
      </c>
      <c r="D63" s="197" t="s">
        <v>110</v>
      </c>
      <c r="E63" s="239">
        <v>6000</v>
      </c>
      <c r="F63" s="215">
        <f t="shared" si="5"/>
        <v>432000</v>
      </c>
      <c r="G63" s="213" t="s">
        <v>2573</v>
      </c>
      <c r="J63" s="36"/>
      <c r="T63" s="36"/>
      <c r="W63" s="36">
        <f t="shared" si="6"/>
        <v>432000</v>
      </c>
    </row>
    <row r="64" spans="1:23" customFormat="1" ht="24.75" x14ac:dyDescent="0.25">
      <c r="A64" s="203"/>
      <c r="B64" s="238" t="s">
        <v>607</v>
      </c>
      <c r="C64" s="199">
        <v>4</v>
      </c>
      <c r="D64" s="197" t="s">
        <v>481</v>
      </c>
      <c r="E64" s="239">
        <v>15000</v>
      </c>
      <c r="F64" s="215">
        <f t="shared" si="5"/>
        <v>60000</v>
      </c>
      <c r="G64" s="213" t="s">
        <v>2573</v>
      </c>
      <c r="J64" s="36"/>
      <c r="T64" s="36"/>
      <c r="W64" s="36">
        <f t="shared" si="6"/>
        <v>60000</v>
      </c>
    </row>
    <row r="65" spans="1:23" customFormat="1" ht="24.75" x14ac:dyDescent="0.25">
      <c r="A65" s="203"/>
      <c r="B65" s="238" t="s">
        <v>608</v>
      </c>
      <c r="C65" s="199">
        <v>5</v>
      </c>
      <c r="D65" s="197" t="s">
        <v>480</v>
      </c>
      <c r="E65" s="239">
        <v>54000</v>
      </c>
      <c r="F65" s="215">
        <f t="shared" si="5"/>
        <v>270000</v>
      </c>
      <c r="G65" s="213" t="s">
        <v>2573</v>
      </c>
      <c r="J65" s="36"/>
      <c r="T65" s="36"/>
      <c r="W65" s="36">
        <f t="shared" si="6"/>
        <v>270000</v>
      </c>
    </row>
    <row r="66" spans="1:23" customFormat="1" ht="24.75" x14ac:dyDescent="0.25">
      <c r="A66" s="203"/>
      <c r="B66" s="238" t="s">
        <v>609</v>
      </c>
      <c r="C66" s="199">
        <v>15</v>
      </c>
      <c r="D66" s="197" t="s">
        <v>95</v>
      </c>
      <c r="E66" s="438">
        <v>15000</v>
      </c>
      <c r="F66" s="439">
        <f t="shared" si="5"/>
        <v>225000</v>
      </c>
      <c r="G66" s="213" t="s">
        <v>2573</v>
      </c>
      <c r="J66" s="36"/>
      <c r="T66" s="36"/>
      <c r="W66" s="36">
        <f t="shared" si="6"/>
        <v>225000</v>
      </c>
    </row>
    <row r="67" spans="1:23" customFormat="1" ht="24.75" x14ac:dyDescent="0.25">
      <c r="A67" s="203"/>
      <c r="B67" s="238" t="s">
        <v>610</v>
      </c>
      <c r="C67" s="199">
        <v>2</v>
      </c>
      <c r="D67" s="197" t="s">
        <v>480</v>
      </c>
      <c r="E67" s="438">
        <v>50000</v>
      </c>
      <c r="F67" s="439">
        <f>E67*C67</f>
        <v>100000</v>
      </c>
      <c r="G67" s="213" t="s">
        <v>2573</v>
      </c>
      <c r="J67" s="36"/>
      <c r="T67" s="36"/>
      <c r="W67" s="36">
        <f>F67</f>
        <v>100000</v>
      </c>
    </row>
    <row r="68" spans="1:23" customFormat="1" ht="24.75" x14ac:dyDescent="0.25">
      <c r="A68" s="203" t="s">
        <v>611</v>
      </c>
      <c r="B68" s="436" t="s">
        <v>612</v>
      </c>
      <c r="C68" s="199"/>
      <c r="D68" s="197"/>
      <c r="E68" s="231"/>
      <c r="F68" s="231"/>
      <c r="G68" s="213"/>
      <c r="H68" s="36"/>
      <c r="J68" s="36"/>
      <c r="W68" s="36">
        <f>F68</f>
        <v>0</v>
      </c>
    </row>
    <row r="69" spans="1:23" customFormat="1" ht="24.75" x14ac:dyDescent="0.25">
      <c r="A69" s="203"/>
      <c r="B69" s="213" t="s">
        <v>613</v>
      </c>
      <c r="C69" s="199">
        <v>16</v>
      </c>
      <c r="D69" s="197" t="s">
        <v>95</v>
      </c>
      <c r="E69" s="231">
        <v>130000</v>
      </c>
      <c r="F69" s="231">
        <f>C69*E69</f>
        <v>2080000</v>
      </c>
      <c r="G69" s="213" t="s">
        <v>2568</v>
      </c>
      <c r="R69" s="32">
        <f>F69</f>
        <v>2080000</v>
      </c>
    </row>
    <row r="70" spans="1:23" customFormat="1" ht="15" x14ac:dyDescent="0.25">
      <c r="A70" s="203"/>
      <c r="B70" s="238"/>
      <c r="C70" s="217"/>
      <c r="D70" s="197"/>
      <c r="E70" s="199"/>
      <c r="F70" s="370"/>
      <c r="G70" s="213"/>
    </row>
    <row r="71" spans="1:23" customFormat="1" ht="48.75" x14ac:dyDescent="0.25">
      <c r="A71" s="203" t="s">
        <v>614</v>
      </c>
      <c r="B71" s="436" t="s">
        <v>117</v>
      </c>
      <c r="C71" s="199"/>
      <c r="D71" s="197"/>
      <c r="E71" s="231"/>
      <c r="F71" s="231"/>
      <c r="G71" s="213"/>
    </row>
    <row r="72" spans="1:23" customFormat="1" ht="24.75" x14ac:dyDescent="0.25">
      <c r="A72" s="212"/>
      <c r="B72" s="213" t="s">
        <v>615</v>
      </c>
      <c r="C72" s="199">
        <v>6</v>
      </c>
      <c r="D72" s="197" t="s">
        <v>95</v>
      </c>
      <c r="E72" s="231">
        <v>25000</v>
      </c>
      <c r="F72" s="231">
        <f t="shared" ref="F72:F92" si="7">C72*E72</f>
        <v>150000</v>
      </c>
      <c r="G72" s="213" t="s">
        <v>2568</v>
      </c>
      <c r="R72" s="32">
        <f>F72</f>
        <v>150000</v>
      </c>
    </row>
    <row r="73" spans="1:23" customFormat="1" ht="24.75" x14ac:dyDescent="0.25">
      <c r="A73" s="212"/>
      <c r="B73" s="213" t="s">
        <v>616</v>
      </c>
      <c r="C73" s="199">
        <v>14</v>
      </c>
      <c r="D73" s="197" t="s">
        <v>95</v>
      </c>
      <c r="E73" s="231">
        <v>30000</v>
      </c>
      <c r="F73" s="231">
        <f t="shared" si="7"/>
        <v>420000</v>
      </c>
      <c r="G73" s="213" t="s">
        <v>2568</v>
      </c>
      <c r="R73" s="32">
        <f t="shared" ref="R73:R92" si="8">F73</f>
        <v>420000</v>
      </c>
    </row>
    <row r="74" spans="1:23" customFormat="1" ht="24.75" x14ac:dyDescent="0.25">
      <c r="A74" s="212"/>
      <c r="B74" s="213" t="s">
        <v>617</v>
      </c>
      <c r="C74" s="199">
        <v>7</v>
      </c>
      <c r="D74" s="197" t="s">
        <v>95</v>
      </c>
      <c r="E74" s="231">
        <v>35000</v>
      </c>
      <c r="F74" s="231">
        <f>C74*E74</f>
        <v>245000</v>
      </c>
      <c r="G74" s="213" t="s">
        <v>2568</v>
      </c>
      <c r="R74" s="32">
        <f t="shared" si="8"/>
        <v>245000</v>
      </c>
    </row>
    <row r="75" spans="1:23" customFormat="1" ht="24.75" x14ac:dyDescent="0.25">
      <c r="A75" s="212"/>
      <c r="B75" s="213" t="s">
        <v>618</v>
      </c>
      <c r="C75" s="199">
        <v>1</v>
      </c>
      <c r="D75" s="197" t="s">
        <v>178</v>
      </c>
      <c r="E75" s="231">
        <v>500000</v>
      </c>
      <c r="F75" s="231">
        <f>C75*E75</f>
        <v>500000</v>
      </c>
      <c r="G75" s="213" t="s">
        <v>2568</v>
      </c>
      <c r="R75" s="32">
        <f t="shared" si="8"/>
        <v>500000</v>
      </c>
    </row>
    <row r="76" spans="1:23" customFormat="1" ht="24.75" x14ac:dyDescent="0.25">
      <c r="A76" s="212"/>
      <c r="B76" s="213" t="s">
        <v>619</v>
      </c>
      <c r="C76" s="199">
        <v>8</v>
      </c>
      <c r="D76" s="197" t="s">
        <v>95</v>
      </c>
      <c r="E76" s="231">
        <v>20000</v>
      </c>
      <c r="F76" s="231">
        <f t="shared" si="7"/>
        <v>160000</v>
      </c>
      <c r="G76" s="213" t="s">
        <v>2568</v>
      </c>
      <c r="R76" s="32">
        <f t="shared" si="8"/>
        <v>160000</v>
      </c>
    </row>
    <row r="77" spans="1:23" customFormat="1" ht="24.75" x14ac:dyDescent="0.25">
      <c r="A77" s="212"/>
      <c r="B77" s="240" t="s">
        <v>620</v>
      </c>
      <c r="C77" s="199">
        <v>10</v>
      </c>
      <c r="D77" s="197" t="s">
        <v>95</v>
      </c>
      <c r="E77" s="231">
        <v>30000</v>
      </c>
      <c r="F77" s="231">
        <f t="shared" si="7"/>
        <v>300000</v>
      </c>
      <c r="G77" s="213" t="s">
        <v>2568</v>
      </c>
      <c r="R77" s="32">
        <f t="shared" si="8"/>
        <v>300000</v>
      </c>
    </row>
    <row r="78" spans="1:23" customFormat="1" ht="24.75" x14ac:dyDescent="0.25">
      <c r="A78" s="212"/>
      <c r="B78" s="240" t="s">
        <v>621</v>
      </c>
      <c r="C78" s="199">
        <v>3</v>
      </c>
      <c r="D78" s="197" t="s">
        <v>95</v>
      </c>
      <c r="E78" s="440">
        <v>50000</v>
      </c>
      <c r="F78" s="231">
        <f t="shared" si="7"/>
        <v>150000</v>
      </c>
      <c r="G78" s="213" t="s">
        <v>2568</v>
      </c>
      <c r="R78" s="32">
        <f t="shared" si="8"/>
        <v>150000</v>
      </c>
    </row>
    <row r="79" spans="1:23" customFormat="1" ht="24.75" x14ac:dyDescent="0.25">
      <c r="A79" s="212"/>
      <c r="B79" s="240" t="s">
        <v>119</v>
      </c>
      <c r="C79" s="199">
        <v>3</v>
      </c>
      <c r="D79" s="197" t="s">
        <v>95</v>
      </c>
      <c r="E79" s="440">
        <v>9000</v>
      </c>
      <c r="F79" s="231">
        <f t="shared" si="7"/>
        <v>27000</v>
      </c>
      <c r="G79" s="213" t="s">
        <v>2568</v>
      </c>
      <c r="R79" s="32">
        <f t="shared" si="8"/>
        <v>27000</v>
      </c>
    </row>
    <row r="80" spans="1:23" customFormat="1" ht="24.75" x14ac:dyDescent="0.25">
      <c r="A80" s="212"/>
      <c r="B80" s="213" t="s">
        <v>622</v>
      </c>
      <c r="C80" s="199">
        <v>3</v>
      </c>
      <c r="D80" s="197" t="s">
        <v>95</v>
      </c>
      <c r="E80" s="440">
        <v>35000</v>
      </c>
      <c r="F80" s="231">
        <f t="shared" si="7"/>
        <v>105000</v>
      </c>
      <c r="G80" s="213" t="s">
        <v>2568</v>
      </c>
      <c r="R80" s="32">
        <f t="shared" si="8"/>
        <v>105000</v>
      </c>
    </row>
    <row r="81" spans="1:18" customFormat="1" ht="24.75" x14ac:dyDescent="0.25">
      <c r="A81" s="212"/>
      <c r="B81" s="213" t="s">
        <v>623</v>
      </c>
      <c r="C81" s="199">
        <v>1</v>
      </c>
      <c r="D81" s="197" t="s">
        <v>95</v>
      </c>
      <c r="E81" s="441">
        <v>387300</v>
      </c>
      <c r="F81" s="231">
        <f t="shared" si="7"/>
        <v>387300</v>
      </c>
      <c r="G81" s="213" t="s">
        <v>2568</v>
      </c>
      <c r="R81" s="32">
        <f t="shared" si="8"/>
        <v>387300</v>
      </c>
    </row>
    <row r="82" spans="1:18" customFormat="1" ht="24.75" x14ac:dyDescent="0.25">
      <c r="A82" s="212"/>
      <c r="B82" s="213" t="s">
        <v>624</v>
      </c>
      <c r="C82" s="199">
        <v>3</v>
      </c>
      <c r="D82" s="197" t="s">
        <v>95</v>
      </c>
      <c r="E82" s="231">
        <v>22500</v>
      </c>
      <c r="F82" s="231">
        <f t="shared" si="7"/>
        <v>67500</v>
      </c>
      <c r="G82" s="213" t="s">
        <v>2568</v>
      </c>
      <c r="R82" s="32">
        <f t="shared" si="8"/>
        <v>67500</v>
      </c>
    </row>
    <row r="83" spans="1:18" customFormat="1" ht="24.75" x14ac:dyDescent="0.25">
      <c r="A83" s="212"/>
      <c r="B83" s="213" t="s">
        <v>625</v>
      </c>
      <c r="C83" s="199">
        <v>2</v>
      </c>
      <c r="D83" s="197" t="s">
        <v>95</v>
      </c>
      <c r="E83" s="231">
        <v>250000</v>
      </c>
      <c r="F83" s="231">
        <f t="shared" si="7"/>
        <v>500000</v>
      </c>
      <c r="G83" s="213" t="s">
        <v>2568</v>
      </c>
      <c r="R83" s="32">
        <f t="shared" si="8"/>
        <v>500000</v>
      </c>
    </row>
    <row r="84" spans="1:18" customFormat="1" ht="24.75" x14ac:dyDescent="0.25">
      <c r="A84" s="212"/>
      <c r="B84" s="213" t="s">
        <v>626</v>
      </c>
      <c r="C84" s="199">
        <v>6</v>
      </c>
      <c r="D84" s="197" t="s">
        <v>95</v>
      </c>
      <c r="E84" s="231">
        <v>30000</v>
      </c>
      <c r="F84" s="231">
        <f t="shared" si="7"/>
        <v>180000</v>
      </c>
      <c r="G84" s="213" t="s">
        <v>2568</v>
      </c>
      <c r="R84" s="32">
        <f t="shared" si="8"/>
        <v>180000</v>
      </c>
    </row>
    <row r="85" spans="1:18" customFormat="1" ht="24.75" x14ac:dyDescent="0.25">
      <c r="A85" s="212"/>
      <c r="B85" s="213" t="s">
        <v>627</v>
      </c>
      <c r="C85" s="199">
        <v>4</v>
      </c>
      <c r="D85" s="197" t="s">
        <v>95</v>
      </c>
      <c r="E85" s="231">
        <v>20000</v>
      </c>
      <c r="F85" s="231">
        <f t="shared" si="7"/>
        <v>80000</v>
      </c>
      <c r="G85" s="213" t="s">
        <v>2568</v>
      </c>
      <c r="R85" s="32">
        <f t="shared" si="8"/>
        <v>80000</v>
      </c>
    </row>
    <row r="86" spans="1:18" customFormat="1" ht="24.75" x14ac:dyDescent="0.25">
      <c r="A86" s="212"/>
      <c r="B86" s="213" t="s">
        <v>628</v>
      </c>
      <c r="C86" s="199">
        <v>3</v>
      </c>
      <c r="D86" s="197" t="s">
        <v>95</v>
      </c>
      <c r="E86" s="231">
        <v>90000</v>
      </c>
      <c r="F86" s="231">
        <f t="shared" si="7"/>
        <v>270000</v>
      </c>
      <c r="G86" s="213" t="s">
        <v>2568</v>
      </c>
      <c r="R86" s="32">
        <f t="shared" si="8"/>
        <v>270000</v>
      </c>
    </row>
    <row r="87" spans="1:18" customFormat="1" ht="24.75" x14ac:dyDescent="0.25">
      <c r="A87" s="212"/>
      <c r="B87" s="213" t="s">
        <v>629</v>
      </c>
      <c r="C87" s="199">
        <v>4</v>
      </c>
      <c r="D87" s="197" t="s">
        <v>95</v>
      </c>
      <c r="E87" s="231">
        <v>30000</v>
      </c>
      <c r="F87" s="231">
        <f t="shared" si="7"/>
        <v>120000</v>
      </c>
      <c r="G87" s="213" t="s">
        <v>2568</v>
      </c>
      <c r="R87" s="32">
        <f t="shared" si="8"/>
        <v>120000</v>
      </c>
    </row>
    <row r="88" spans="1:18" customFormat="1" ht="24.75" x14ac:dyDescent="0.25">
      <c r="A88" s="212"/>
      <c r="B88" s="213" t="s">
        <v>630</v>
      </c>
      <c r="C88" s="199">
        <v>5</v>
      </c>
      <c r="D88" s="197" t="s">
        <v>95</v>
      </c>
      <c r="E88" s="231">
        <v>30000</v>
      </c>
      <c r="F88" s="231">
        <f t="shared" si="7"/>
        <v>150000</v>
      </c>
      <c r="G88" s="213" t="s">
        <v>2568</v>
      </c>
      <c r="R88" s="32">
        <f t="shared" si="8"/>
        <v>150000</v>
      </c>
    </row>
    <row r="89" spans="1:18" customFormat="1" ht="24.75" x14ac:dyDescent="0.25">
      <c r="A89" s="212"/>
      <c r="B89" s="213" t="s">
        <v>631</v>
      </c>
      <c r="C89" s="199">
        <v>10</v>
      </c>
      <c r="D89" s="197" t="s">
        <v>95</v>
      </c>
      <c r="E89" s="231">
        <v>10000</v>
      </c>
      <c r="F89" s="231">
        <f t="shared" si="7"/>
        <v>100000</v>
      </c>
      <c r="G89" s="213" t="s">
        <v>2568</v>
      </c>
      <c r="R89" s="32">
        <f t="shared" si="8"/>
        <v>100000</v>
      </c>
    </row>
    <row r="90" spans="1:18" customFormat="1" ht="24.75" x14ac:dyDescent="0.25">
      <c r="A90" s="212"/>
      <c r="B90" s="213" t="s">
        <v>632</v>
      </c>
      <c r="C90" s="199">
        <v>8</v>
      </c>
      <c r="D90" s="197" t="s">
        <v>95</v>
      </c>
      <c r="E90" s="231">
        <v>20000</v>
      </c>
      <c r="F90" s="231">
        <f t="shared" si="7"/>
        <v>160000</v>
      </c>
      <c r="G90" s="213" t="s">
        <v>2568</v>
      </c>
      <c r="R90" s="32">
        <f t="shared" si="8"/>
        <v>160000</v>
      </c>
    </row>
    <row r="91" spans="1:18" customFormat="1" ht="24.75" x14ac:dyDescent="0.25">
      <c r="A91" s="212"/>
      <c r="B91" s="213" t="s">
        <v>633</v>
      </c>
      <c r="C91" s="199">
        <v>2</v>
      </c>
      <c r="D91" s="197" t="s">
        <v>95</v>
      </c>
      <c r="E91" s="231">
        <v>15000</v>
      </c>
      <c r="F91" s="215">
        <f t="shared" si="7"/>
        <v>30000</v>
      </c>
      <c r="G91" s="213" t="s">
        <v>2568</v>
      </c>
      <c r="R91" s="32">
        <f t="shared" si="8"/>
        <v>30000</v>
      </c>
    </row>
    <row r="92" spans="1:18" customFormat="1" ht="24.75" x14ac:dyDescent="0.25">
      <c r="A92" s="212"/>
      <c r="B92" s="213" t="s">
        <v>634</v>
      </c>
      <c r="C92" s="199">
        <v>3</v>
      </c>
      <c r="D92" s="197" t="s">
        <v>480</v>
      </c>
      <c r="E92" s="231">
        <v>35000</v>
      </c>
      <c r="F92" s="215">
        <f t="shared" si="7"/>
        <v>105000</v>
      </c>
      <c r="G92" s="213" t="s">
        <v>2568</v>
      </c>
      <c r="R92" s="32">
        <f t="shared" si="8"/>
        <v>105000</v>
      </c>
    </row>
    <row r="93" spans="1:18" customFormat="1" ht="48.75" x14ac:dyDescent="0.25">
      <c r="A93" s="203" t="s">
        <v>635</v>
      </c>
      <c r="B93" s="437" t="s">
        <v>151</v>
      </c>
      <c r="C93" s="199"/>
      <c r="D93" s="197"/>
      <c r="E93" s="231"/>
      <c r="F93" s="215"/>
      <c r="G93" s="213"/>
    </row>
    <row r="94" spans="1:18" customFormat="1" ht="24.75" x14ac:dyDescent="0.25">
      <c r="A94" s="203"/>
      <c r="B94" s="213" t="s">
        <v>154</v>
      </c>
      <c r="C94" s="199">
        <v>30</v>
      </c>
      <c r="D94" s="197" t="s">
        <v>155</v>
      </c>
      <c r="E94" s="231">
        <v>6000</v>
      </c>
      <c r="F94" s="215">
        <f>E94*C94</f>
        <v>180000</v>
      </c>
      <c r="G94" s="213" t="s">
        <v>2568</v>
      </c>
      <c r="R94" s="36">
        <f>F94</f>
        <v>180000</v>
      </c>
    </row>
    <row r="95" spans="1:18" customFormat="1" ht="15" x14ac:dyDescent="0.25">
      <c r="A95" s="203"/>
      <c r="B95" s="213"/>
      <c r="C95" s="199"/>
      <c r="D95" s="197"/>
      <c r="E95" s="231"/>
      <c r="F95" s="215"/>
      <c r="G95" s="213"/>
    </row>
    <row r="96" spans="1:18" customFormat="1" ht="15" x14ac:dyDescent="0.25">
      <c r="A96" s="203" t="s">
        <v>636</v>
      </c>
      <c r="B96" s="436" t="s">
        <v>637</v>
      </c>
      <c r="C96" s="199"/>
      <c r="D96" s="197"/>
      <c r="E96" s="231"/>
      <c r="F96" s="215"/>
      <c r="G96" s="213"/>
    </row>
    <row r="97" spans="1:22" customFormat="1" ht="15" x14ac:dyDescent="0.25">
      <c r="A97" s="203"/>
      <c r="B97" s="213" t="s">
        <v>638</v>
      </c>
      <c r="C97" s="199">
        <v>5</v>
      </c>
      <c r="D97" s="197" t="s">
        <v>110</v>
      </c>
      <c r="E97" s="231">
        <v>150000</v>
      </c>
      <c r="F97" s="215">
        <f>E97*C97</f>
        <v>750000</v>
      </c>
      <c r="G97" s="213" t="s">
        <v>1409</v>
      </c>
      <c r="K97" s="36">
        <f>F97</f>
        <v>750000</v>
      </c>
      <c r="S97" s="36"/>
    </row>
    <row r="98" spans="1:22" customFormat="1" ht="15" x14ac:dyDescent="0.25">
      <c r="A98" s="203"/>
      <c r="B98" s="213" t="s">
        <v>639</v>
      </c>
      <c r="C98" s="199">
        <v>10</v>
      </c>
      <c r="D98" s="197" t="s">
        <v>110</v>
      </c>
      <c r="E98" s="231">
        <v>350000</v>
      </c>
      <c r="F98" s="215">
        <f>E98*C98</f>
        <v>3500000</v>
      </c>
      <c r="G98" s="213" t="s">
        <v>1409</v>
      </c>
      <c r="K98" s="36">
        <f>F98</f>
        <v>3500000</v>
      </c>
      <c r="S98" s="36"/>
    </row>
    <row r="99" spans="1:22" customFormat="1" ht="15" x14ac:dyDescent="0.25">
      <c r="A99" s="203"/>
      <c r="B99" s="213"/>
      <c r="C99" s="199"/>
      <c r="D99" s="197"/>
      <c r="E99" s="231"/>
      <c r="F99" s="215"/>
      <c r="G99" s="213"/>
    </row>
    <row r="100" spans="1:22" customFormat="1" ht="24.75" x14ac:dyDescent="0.25">
      <c r="A100" s="203" t="s">
        <v>640</v>
      </c>
      <c r="B100" s="436" t="s">
        <v>167</v>
      </c>
      <c r="C100" s="199"/>
      <c r="D100" s="197"/>
      <c r="E100" s="215"/>
      <c r="F100" s="215"/>
      <c r="G100" s="213"/>
    </row>
    <row r="101" spans="1:22" customFormat="1" ht="24.75" x14ac:dyDescent="0.25">
      <c r="A101" s="212"/>
      <c r="B101" s="213" t="s">
        <v>641</v>
      </c>
      <c r="C101" s="199">
        <v>3</v>
      </c>
      <c r="D101" s="197" t="s">
        <v>95</v>
      </c>
      <c r="E101" s="231">
        <v>100000</v>
      </c>
      <c r="F101" s="231">
        <f>E101*C101</f>
        <v>300000</v>
      </c>
      <c r="G101" s="213" t="s">
        <v>2568</v>
      </c>
      <c r="R101" s="32">
        <f>F101</f>
        <v>300000</v>
      </c>
    </row>
    <row r="102" spans="1:22" customFormat="1" ht="15" x14ac:dyDescent="0.25">
      <c r="A102" s="203"/>
      <c r="B102" s="213"/>
      <c r="C102" s="199"/>
      <c r="D102" s="197"/>
      <c r="E102" s="231"/>
      <c r="F102" s="231"/>
      <c r="G102" s="213"/>
    </row>
    <row r="103" spans="1:22" customFormat="1" ht="24.75" x14ac:dyDescent="0.25">
      <c r="A103" s="203" t="s">
        <v>642</v>
      </c>
      <c r="B103" s="436" t="s">
        <v>643</v>
      </c>
      <c r="C103" s="199"/>
      <c r="D103" s="197"/>
      <c r="E103" s="215"/>
      <c r="F103" s="215"/>
      <c r="G103" s="213"/>
    </row>
    <row r="104" spans="1:22" customFormat="1" ht="24.75" x14ac:dyDescent="0.25">
      <c r="A104" s="212"/>
      <c r="B104" s="213" t="s">
        <v>644</v>
      </c>
      <c r="C104" s="199">
        <v>5</v>
      </c>
      <c r="D104" s="197" t="s">
        <v>95</v>
      </c>
      <c r="E104" s="231">
        <v>750000</v>
      </c>
      <c r="F104" s="231">
        <f>C104*E104</f>
        <v>3750000</v>
      </c>
      <c r="G104" s="213" t="s">
        <v>2568</v>
      </c>
      <c r="R104" s="32">
        <f>F104</f>
        <v>3750000</v>
      </c>
    </row>
    <row r="105" spans="1:22" customFormat="1" ht="15" x14ac:dyDescent="0.25">
      <c r="A105" s="212"/>
      <c r="B105" s="213"/>
      <c r="C105" s="199"/>
      <c r="D105" s="197"/>
      <c r="E105" s="231"/>
      <c r="F105" s="231"/>
      <c r="G105" s="213"/>
    </row>
    <row r="106" spans="1:22" customFormat="1" ht="24.75" x14ac:dyDescent="0.25">
      <c r="A106" s="203" t="s">
        <v>645</v>
      </c>
      <c r="B106" s="436" t="s">
        <v>283</v>
      </c>
      <c r="C106" s="199"/>
      <c r="D106" s="197"/>
      <c r="E106" s="231"/>
      <c r="F106" s="215"/>
      <c r="G106" s="213"/>
    </row>
    <row r="107" spans="1:22" customFormat="1" ht="15" x14ac:dyDescent="0.25">
      <c r="A107" s="203"/>
      <c r="B107" s="213" t="s">
        <v>646</v>
      </c>
      <c r="C107" s="199">
        <v>5832</v>
      </c>
      <c r="D107" s="199" t="s">
        <v>647</v>
      </c>
      <c r="E107" s="231">
        <v>1000</v>
      </c>
      <c r="F107" s="231">
        <f t="shared" ref="F107:F117" si="9">C107*E107</f>
        <v>5832000</v>
      </c>
      <c r="G107" s="213" t="s">
        <v>1845</v>
      </c>
      <c r="L107" s="32">
        <f>F107</f>
        <v>5832000</v>
      </c>
      <c r="V107" s="32"/>
    </row>
    <row r="108" spans="1:22" customFormat="1" ht="24.75" x14ac:dyDescent="0.25">
      <c r="A108" s="203"/>
      <c r="B108" s="213" t="s">
        <v>2061</v>
      </c>
      <c r="C108" s="199">
        <v>1</v>
      </c>
      <c r="D108" s="199" t="s">
        <v>604</v>
      </c>
      <c r="E108" s="231">
        <v>150000</v>
      </c>
      <c r="F108" s="231">
        <f>E108*C108</f>
        <v>150000</v>
      </c>
      <c r="G108" s="213" t="s">
        <v>2571</v>
      </c>
      <c r="U108" s="32">
        <f>F108</f>
        <v>150000</v>
      </c>
      <c r="V108" s="32"/>
    </row>
    <row r="109" spans="1:22" customFormat="1" ht="24.75" x14ac:dyDescent="0.25">
      <c r="A109" s="203"/>
      <c r="B109" s="213" t="s">
        <v>2062</v>
      </c>
      <c r="C109" s="199">
        <v>1</v>
      </c>
      <c r="D109" s="199" t="s">
        <v>604</v>
      </c>
      <c r="E109" s="231">
        <v>150000</v>
      </c>
      <c r="F109" s="231">
        <f>E109*C109</f>
        <v>150000</v>
      </c>
      <c r="G109" s="213" t="s">
        <v>2571</v>
      </c>
      <c r="U109" s="32">
        <f>F109</f>
        <v>150000</v>
      </c>
      <c r="V109" s="32"/>
    </row>
    <row r="110" spans="1:22" customFormat="1" ht="24.75" x14ac:dyDescent="0.25">
      <c r="A110" s="203"/>
      <c r="B110" s="213" t="s">
        <v>648</v>
      </c>
      <c r="C110" s="199">
        <v>12</v>
      </c>
      <c r="D110" s="199" t="s">
        <v>184</v>
      </c>
      <c r="E110" s="231">
        <v>150000</v>
      </c>
      <c r="F110" s="231">
        <f t="shared" si="9"/>
        <v>1800000</v>
      </c>
      <c r="G110" s="213" t="s">
        <v>2571</v>
      </c>
      <c r="U110" s="32">
        <f>F110</f>
        <v>1800000</v>
      </c>
      <c r="V110" s="32"/>
    </row>
    <row r="111" spans="1:22" customFormat="1" ht="24.75" x14ac:dyDescent="0.25">
      <c r="A111" s="203"/>
      <c r="B111" s="213" t="s">
        <v>649</v>
      </c>
      <c r="C111" s="199">
        <v>12</v>
      </c>
      <c r="D111" s="199" t="s">
        <v>184</v>
      </c>
      <c r="E111" s="231">
        <v>110000</v>
      </c>
      <c r="F111" s="231">
        <f t="shared" si="9"/>
        <v>1320000</v>
      </c>
      <c r="G111" s="213" t="s">
        <v>2572</v>
      </c>
      <c r="U111" s="32"/>
      <c r="V111" s="32">
        <f>F111</f>
        <v>1320000</v>
      </c>
    </row>
    <row r="112" spans="1:22" customFormat="1" ht="24.75" x14ac:dyDescent="0.25">
      <c r="A112" s="203"/>
      <c r="B112" s="213" t="s">
        <v>650</v>
      </c>
      <c r="C112" s="199">
        <v>14</v>
      </c>
      <c r="D112" s="199" t="s">
        <v>131</v>
      </c>
      <c r="E112" s="231">
        <v>30000</v>
      </c>
      <c r="F112" s="231">
        <f t="shared" si="9"/>
        <v>420000</v>
      </c>
      <c r="G112" s="213" t="s">
        <v>2570</v>
      </c>
      <c r="T112" s="32">
        <f>F112</f>
        <v>420000</v>
      </c>
      <c r="V112" s="32"/>
    </row>
    <row r="113" spans="1:23" customFormat="1" ht="24.75" x14ac:dyDescent="0.25">
      <c r="A113" s="203"/>
      <c r="B113" s="213" t="s">
        <v>651</v>
      </c>
      <c r="C113" s="199">
        <v>2</v>
      </c>
      <c r="D113" s="199" t="s">
        <v>131</v>
      </c>
      <c r="E113" s="231">
        <v>2403356.59</v>
      </c>
      <c r="F113" s="231">
        <f t="shared" si="9"/>
        <v>4806713.18</v>
      </c>
      <c r="G113" s="213" t="s">
        <v>2572</v>
      </c>
      <c r="H113" s="32"/>
      <c r="V113" s="32">
        <f>F113</f>
        <v>4806713.18</v>
      </c>
    </row>
    <row r="114" spans="1:23" customFormat="1" ht="24.75" x14ac:dyDescent="0.25">
      <c r="A114" s="203"/>
      <c r="B114" s="213" t="s">
        <v>652</v>
      </c>
      <c r="C114" s="199">
        <v>4</v>
      </c>
      <c r="D114" s="199" t="s">
        <v>297</v>
      </c>
      <c r="E114" s="231">
        <v>50000</v>
      </c>
      <c r="F114" s="231">
        <f t="shared" si="9"/>
        <v>200000</v>
      </c>
      <c r="G114" s="213" t="s">
        <v>2571</v>
      </c>
      <c r="H114" s="32"/>
      <c r="T114" s="32"/>
      <c r="U114" s="32">
        <f>F114</f>
        <v>200000</v>
      </c>
      <c r="V114" s="32"/>
    </row>
    <row r="115" spans="1:23" customFormat="1" ht="24.75" x14ac:dyDescent="0.25">
      <c r="A115" s="203"/>
      <c r="B115" s="213" t="s">
        <v>653</v>
      </c>
      <c r="C115" s="199">
        <v>4</v>
      </c>
      <c r="D115" s="199" t="s">
        <v>297</v>
      </c>
      <c r="E115" s="231">
        <v>50000</v>
      </c>
      <c r="F115" s="231">
        <f t="shared" si="9"/>
        <v>200000</v>
      </c>
      <c r="G115" s="213" t="s">
        <v>2570</v>
      </c>
      <c r="T115" s="32">
        <f>F115</f>
        <v>200000</v>
      </c>
      <c r="V115" s="32"/>
    </row>
    <row r="116" spans="1:23" customFormat="1" ht="24.75" x14ac:dyDescent="0.25">
      <c r="A116" s="203"/>
      <c r="B116" s="213" t="s">
        <v>654</v>
      </c>
      <c r="C116" s="199">
        <v>4</v>
      </c>
      <c r="D116" s="199" t="s">
        <v>297</v>
      </c>
      <c r="E116" s="231">
        <v>50000</v>
      </c>
      <c r="F116" s="231">
        <f t="shared" si="9"/>
        <v>200000</v>
      </c>
      <c r="G116" s="213" t="s">
        <v>2571</v>
      </c>
      <c r="T116" s="32"/>
      <c r="U116" s="32">
        <f>F116</f>
        <v>200000</v>
      </c>
      <c r="V116" s="32"/>
    </row>
    <row r="117" spans="1:23" customFormat="1" ht="24.75" x14ac:dyDescent="0.25">
      <c r="A117" s="203"/>
      <c r="B117" s="213" t="s">
        <v>2063</v>
      </c>
      <c r="C117" s="199">
        <v>1</v>
      </c>
      <c r="D117" s="199" t="s">
        <v>115</v>
      </c>
      <c r="E117" s="231">
        <v>150000</v>
      </c>
      <c r="F117" s="231">
        <f t="shared" si="9"/>
        <v>150000</v>
      </c>
      <c r="G117" s="213" t="s">
        <v>2571</v>
      </c>
      <c r="U117" s="32">
        <f>F117</f>
        <v>150000</v>
      </c>
      <c r="V117" s="32"/>
    </row>
    <row r="118" spans="1:23" customFormat="1" ht="15" x14ac:dyDescent="0.25">
      <c r="A118" s="203"/>
      <c r="B118" s="213"/>
      <c r="C118" s="199"/>
      <c r="D118" s="199"/>
      <c r="E118" s="231"/>
      <c r="F118" s="231"/>
      <c r="G118" s="213"/>
    </row>
    <row r="119" spans="1:23" customFormat="1" ht="15" x14ac:dyDescent="0.25">
      <c r="A119" s="203" t="s">
        <v>655</v>
      </c>
      <c r="B119" s="436" t="s">
        <v>180</v>
      </c>
      <c r="C119" s="199"/>
      <c r="D119" s="197"/>
      <c r="E119" s="231"/>
      <c r="F119" s="215"/>
      <c r="G119" s="213"/>
    </row>
    <row r="120" spans="1:23" customFormat="1" ht="36.75" x14ac:dyDescent="0.25">
      <c r="A120" s="250" t="s">
        <v>656</v>
      </c>
      <c r="B120" s="436" t="s">
        <v>657</v>
      </c>
      <c r="C120" s="199"/>
      <c r="D120" s="197"/>
      <c r="E120" s="231"/>
      <c r="F120" s="215"/>
      <c r="G120" s="213"/>
    </row>
    <row r="121" spans="1:23" customFormat="1" ht="24.75" x14ac:dyDescent="0.25">
      <c r="A121" s="1439"/>
      <c r="B121" s="1356" t="s">
        <v>658</v>
      </c>
      <c r="C121" s="1501">
        <v>12</v>
      </c>
      <c r="D121" s="1325" t="s">
        <v>21</v>
      </c>
      <c r="E121" s="1429">
        <v>2100000</v>
      </c>
      <c r="F121" s="1357">
        <f t="shared" ref="F121:F127" si="10">E121*C121</f>
        <v>25200000</v>
      </c>
      <c r="G121" s="1356" t="s">
        <v>2573</v>
      </c>
      <c r="H121" t="s">
        <v>2749</v>
      </c>
      <c r="W121" s="36">
        <f>F121</f>
        <v>25200000</v>
      </c>
    </row>
    <row r="122" spans="1:23" customFormat="1" ht="24.75" x14ac:dyDescent="0.25">
      <c r="A122" s="1439"/>
      <c r="B122" s="1356" t="s">
        <v>659</v>
      </c>
      <c r="C122" s="1501">
        <v>12</v>
      </c>
      <c r="D122" s="1325" t="s">
        <v>21</v>
      </c>
      <c r="E122" s="1429">
        <v>1950000</v>
      </c>
      <c r="F122" s="1357">
        <f t="shared" si="10"/>
        <v>23400000</v>
      </c>
      <c r="G122" s="1356" t="s">
        <v>2573</v>
      </c>
      <c r="H122" t="s">
        <v>2750</v>
      </c>
      <c r="W122" s="36">
        <f t="shared" ref="W122:W127" si="11">F122</f>
        <v>23400000</v>
      </c>
    </row>
    <row r="123" spans="1:23" customFormat="1" ht="24.75" x14ac:dyDescent="0.25">
      <c r="A123" s="1439"/>
      <c r="B123" s="1356" t="s">
        <v>660</v>
      </c>
      <c r="C123" s="1501">
        <v>12</v>
      </c>
      <c r="D123" s="1325" t="s">
        <v>21</v>
      </c>
      <c r="E123" s="1429">
        <v>1800000</v>
      </c>
      <c r="F123" s="1357">
        <f t="shared" si="10"/>
        <v>21600000</v>
      </c>
      <c r="G123" s="1356" t="s">
        <v>2573</v>
      </c>
      <c r="W123" s="36">
        <f t="shared" si="11"/>
        <v>21600000</v>
      </c>
    </row>
    <row r="124" spans="1:23" customFormat="1" ht="24.75" x14ac:dyDescent="0.25">
      <c r="A124" s="1439"/>
      <c r="B124" s="1356" t="s">
        <v>661</v>
      </c>
      <c r="C124" s="1501">
        <v>12</v>
      </c>
      <c r="D124" s="1325" t="s">
        <v>21</v>
      </c>
      <c r="E124" s="1429">
        <v>1700000</v>
      </c>
      <c r="F124" s="1357">
        <f t="shared" si="10"/>
        <v>20400000</v>
      </c>
      <c r="G124" s="1356" t="s">
        <v>2573</v>
      </c>
      <c r="W124" s="36">
        <f t="shared" si="11"/>
        <v>20400000</v>
      </c>
    </row>
    <row r="125" spans="1:23" customFormat="1" ht="24.75" x14ac:dyDescent="0.25">
      <c r="A125" s="1439"/>
      <c r="B125" s="1356" t="s">
        <v>662</v>
      </c>
      <c r="C125" s="1501">
        <v>12</v>
      </c>
      <c r="D125" s="1325" t="s">
        <v>21</v>
      </c>
      <c r="E125" s="1429">
        <v>1700000</v>
      </c>
      <c r="F125" s="1357">
        <f t="shared" si="10"/>
        <v>20400000</v>
      </c>
      <c r="G125" s="1356" t="s">
        <v>2573</v>
      </c>
      <c r="W125" s="36">
        <f t="shared" si="11"/>
        <v>20400000</v>
      </c>
    </row>
    <row r="126" spans="1:23" customFormat="1" ht="24.75" x14ac:dyDescent="0.25">
      <c r="A126" s="1439"/>
      <c r="B126" s="1356" t="s">
        <v>663</v>
      </c>
      <c r="C126" s="1501">
        <v>24</v>
      </c>
      <c r="D126" s="1325" t="s">
        <v>21</v>
      </c>
      <c r="E126" s="1429">
        <v>500000</v>
      </c>
      <c r="F126" s="1357">
        <f t="shared" si="10"/>
        <v>12000000</v>
      </c>
      <c r="G126" s="1356" t="s">
        <v>2573</v>
      </c>
      <c r="W126" s="36">
        <f t="shared" si="11"/>
        <v>12000000</v>
      </c>
    </row>
    <row r="127" spans="1:23" customFormat="1" ht="24.75" x14ac:dyDescent="0.25">
      <c r="A127" s="1439"/>
      <c r="B127" s="1356" t="s">
        <v>664</v>
      </c>
      <c r="C127" s="1501">
        <v>12</v>
      </c>
      <c r="D127" s="1325" t="s">
        <v>21</v>
      </c>
      <c r="E127" s="1429">
        <v>1200000</v>
      </c>
      <c r="F127" s="1357">
        <f t="shared" si="10"/>
        <v>14400000</v>
      </c>
      <c r="G127" s="1356" t="s">
        <v>2573</v>
      </c>
      <c r="W127" s="36">
        <f t="shared" si="11"/>
        <v>14400000</v>
      </c>
    </row>
    <row r="128" spans="1:23" customFormat="1" ht="15" x14ac:dyDescent="0.25">
      <c r="A128" s="1439"/>
      <c r="B128" s="1356" t="s">
        <v>665</v>
      </c>
      <c r="C128" s="1501"/>
      <c r="D128" s="1325"/>
      <c r="E128" s="1429"/>
      <c r="F128" s="1357"/>
      <c r="G128" s="1356"/>
    </row>
    <row r="129" spans="1:22" customFormat="1" ht="24.75" x14ac:dyDescent="0.25">
      <c r="A129" s="1439"/>
      <c r="B129" s="1356" t="s">
        <v>666</v>
      </c>
      <c r="C129" s="1501">
        <v>12</v>
      </c>
      <c r="D129" s="1325" t="s">
        <v>21</v>
      </c>
      <c r="E129" s="1429">
        <v>250000</v>
      </c>
      <c r="F129" s="1357">
        <f>E129*C129</f>
        <v>3000000</v>
      </c>
      <c r="G129" s="1356" t="s">
        <v>2568</v>
      </c>
      <c r="R129" s="36">
        <f>F129</f>
        <v>3000000</v>
      </c>
    </row>
    <row r="130" spans="1:22" customFormat="1" ht="24.75" x14ac:dyDescent="0.25">
      <c r="A130" s="1439"/>
      <c r="B130" s="1356" t="s">
        <v>667</v>
      </c>
      <c r="C130" s="1501">
        <v>12</v>
      </c>
      <c r="D130" s="1325" t="s">
        <v>21</v>
      </c>
      <c r="E130" s="1429">
        <v>200000</v>
      </c>
      <c r="F130" s="1357">
        <f>E130*C130</f>
        <v>2400000</v>
      </c>
      <c r="G130" s="1356" t="s">
        <v>2568</v>
      </c>
      <c r="R130" s="36">
        <f>F130</f>
        <v>2400000</v>
      </c>
    </row>
    <row r="131" spans="1:22" customFormat="1" ht="15" x14ac:dyDescent="0.25">
      <c r="A131" s="203"/>
      <c r="B131" s="213"/>
      <c r="C131" s="199"/>
      <c r="D131" s="197"/>
      <c r="E131" s="231"/>
      <c r="F131" s="215"/>
      <c r="G131" s="213"/>
    </row>
    <row r="132" spans="1:22" customFormat="1" ht="24.75" x14ac:dyDescent="0.25">
      <c r="A132" s="203" t="s">
        <v>668</v>
      </c>
      <c r="B132" s="436" t="s">
        <v>669</v>
      </c>
      <c r="C132" s="199"/>
      <c r="D132" s="197"/>
      <c r="E132" s="231"/>
      <c r="F132" s="215"/>
      <c r="G132" s="213"/>
    </row>
    <row r="133" spans="1:22" customFormat="1" ht="24.75" x14ac:dyDescent="0.25">
      <c r="A133" s="203" t="s">
        <v>670</v>
      </c>
      <c r="B133" s="213" t="s">
        <v>671</v>
      </c>
      <c r="C133" s="199">
        <v>12</v>
      </c>
      <c r="D133" s="197" t="s">
        <v>184</v>
      </c>
      <c r="E133" s="231">
        <v>1000000</v>
      </c>
      <c r="F133" s="215">
        <f>E133*C133</f>
        <v>12000000</v>
      </c>
      <c r="G133" s="213" t="s">
        <v>2572</v>
      </c>
      <c r="L133" s="36"/>
      <c r="V133" s="36">
        <f>F133</f>
        <v>12000000</v>
      </c>
    </row>
    <row r="134" spans="1:22" customFormat="1" ht="15" x14ac:dyDescent="0.25">
      <c r="A134" s="203" t="s">
        <v>672</v>
      </c>
      <c r="B134" s="213" t="s">
        <v>673</v>
      </c>
      <c r="C134" s="199">
        <v>12</v>
      </c>
      <c r="D134" s="197" t="s">
        <v>184</v>
      </c>
      <c r="E134" s="231">
        <v>250000</v>
      </c>
      <c r="F134" s="215">
        <f>E134*C134</f>
        <v>3000000</v>
      </c>
      <c r="G134" s="213" t="s">
        <v>1409</v>
      </c>
      <c r="K134" s="36">
        <f>F134</f>
        <v>3000000</v>
      </c>
      <c r="L134" s="36"/>
      <c r="V134" s="36"/>
    </row>
    <row r="135" spans="1:22" customFormat="1" ht="24.75" x14ac:dyDescent="0.25">
      <c r="A135" s="203" t="s">
        <v>674</v>
      </c>
      <c r="B135" s="213" t="s">
        <v>205</v>
      </c>
      <c r="C135" s="199">
        <v>12</v>
      </c>
      <c r="D135" s="197" t="s">
        <v>184</v>
      </c>
      <c r="E135" s="231">
        <v>300000</v>
      </c>
      <c r="F135" s="215">
        <f>E135*C135</f>
        <v>3600000</v>
      </c>
      <c r="G135" s="213" t="s">
        <v>1417</v>
      </c>
      <c r="I135" s="3"/>
      <c r="J135" s="172"/>
      <c r="L135" s="36"/>
      <c r="Q135" s="36">
        <f>F135</f>
        <v>3600000</v>
      </c>
      <c r="V135" s="36"/>
    </row>
    <row r="136" spans="1:22" customFormat="1" ht="15" x14ac:dyDescent="0.25">
      <c r="A136" s="203" t="s">
        <v>2064</v>
      </c>
      <c r="B136" s="436" t="s">
        <v>215</v>
      </c>
      <c r="C136" s="199"/>
      <c r="D136" s="197"/>
      <c r="E136" s="231"/>
      <c r="F136" s="215"/>
      <c r="G136" s="213"/>
      <c r="I136" s="3"/>
      <c r="J136" s="172"/>
    </row>
    <row r="137" spans="1:22" customFormat="1" ht="15" x14ac:dyDescent="0.25">
      <c r="A137" s="203" t="s">
        <v>2065</v>
      </c>
      <c r="B137" s="436" t="s">
        <v>2066</v>
      </c>
      <c r="C137" s="199"/>
      <c r="D137" s="197"/>
      <c r="E137" s="231"/>
      <c r="F137" s="215"/>
      <c r="G137" s="213"/>
      <c r="I137" s="3"/>
      <c r="J137" s="172"/>
    </row>
    <row r="138" spans="1:22" customFormat="1" ht="15" x14ac:dyDescent="0.25">
      <c r="A138" s="203"/>
      <c r="B138" s="213" t="s">
        <v>2067</v>
      </c>
      <c r="C138" s="199">
        <v>1</v>
      </c>
      <c r="D138" s="197" t="s">
        <v>178</v>
      </c>
      <c r="E138" s="231">
        <v>4200000</v>
      </c>
      <c r="F138" s="230">
        <f>E138*C138</f>
        <v>4200000</v>
      </c>
      <c r="G138" s="213" t="s">
        <v>1417</v>
      </c>
      <c r="Q138" s="172">
        <f>F138</f>
        <v>4200000</v>
      </c>
      <c r="T138" s="172"/>
    </row>
    <row r="139" spans="1:22" customFormat="1" ht="15" x14ac:dyDescent="0.25">
      <c r="A139" s="203" t="s">
        <v>2068</v>
      </c>
      <c r="B139" s="436" t="s">
        <v>2069</v>
      </c>
      <c r="C139" s="199"/>
      <c r="D139" s="197"/>
      <c r="E139" s="231"/>
      <c r="F139" s="215"/>
      <c r="G139" s="213"/>
      <c r="I139" s="3"/>
      <c r="J139" s="172"/>
    </row>
    <row r="140" spans="1:22" customFormat="1" ht="24.75" x14ac:dyDescent="0.25">
      <c r="A140" s="203"/>
      <c r="B140" s="213" t="s">
        <v>2070</v>
      </c>
      <c r="C140" s="199">
        <v>1</v>
      </c>
      <c r="D140" s="197" t="s">
        <v>115</v>
      </c>
      <c r="E140" s="215">
        <v>5000000</v>
      </c>
      <c r="F140" s="215">
        <f>E140*C140</f>
        <v>5000000</v>
      </c>
      <c r="G140" s="213" t="s">
        <v>2568</v>
      </c>
      <c r="R140" s="36">
        <f>F140</f>
        <v>5000000</v>
      </c>
    </row>
    <row r="141" spans="1:22" customFormat="1" ht="15" x14ac:dyDescent="0.25">
      <c r="A141" s="203" t="s">
        <v>2071</v>
      </c>
      <c r="B141" s="436" t="s">
        <v>424</v>
      </c>
      <c r="C141" s="199"/>
      <c r="D141" s="197"/>
      <c r="E141" s="231"/>
      <c r="F141" s="215"/>
      <c r="G141" s="213"/>
      <c r="I141" s="3"/>
      <c r="J141" s="172"/>
    </row>
    <row r="142" spans="1:22" customFormat="1" ht="15" x14ac:dyDescent="0.25">
      <c r="A142" s="203" t="s">
        <v>2072</v>
      </c>
      <c r="B142" s="436" t="s">
        <v>2073</v>
      </c>
      <c r="C142" s="199"/>
      <c r="D142" s="197"/>
      <c r="E142" s="231"/>
      <c r="F142" s="215"/>
      <c r="G142" s="213"/>
      <c r="I142" s="3"/>
      <c r="J142" s="172"/>
    </row>
    <row r="143" spans="1:22" customFormat="1" ht="27.75" customHeight="1" x14ac:dyDescent="0.25">
      <c r="A143" s="203" t="s">
        <v>2074</v>
      </c>
      <c r="B143" s="436" t="s">
        <v>1705</v>
      </c>
      <c r="C143" s="199"/>
      <c r="D143" s="197"/>
      <c r="E143" s="231"/>
      <c r="F143" s="215"/>
      <c r="G143" s="213"/>
      <c r="I143" s="3"/>
      <c r="J143" s="172"/>
    </row>
    <row r="144" spans="1:22" customFormat="1" ht="24.75" x14ac:dyDescent="0.25">
      <c r="A144" s="203"/>
      <c r="B144" s="213" t="s">
        <v>2075</v>
      </c>
      <c r="C144" s="199">
        <v>3</v>
      </c>
      <c r="D144" s="197" t="s">
        <v>115</v>
      </c>
      <c r="E144" s="231">
        <v>750000</v>
      </c>
      <c r="F144" s="215">
        <f>E144*C144</f>
        <v>2250000</v>
      </c>
      <c r="G144" s="213" t="s">
        <v>2568</v>
      </c>
      <c r="R144" s="36">
        <f>F144</f>
        <v>2250000</v>
      </c>
    </row>
    <row r="145" spans="1:21" customFormat="1" ht="27.75" customHeight="1" x14ac:dyDescent="0.25">
      <c r="A145" s="203" t="s">
        <v>2076</v>
      </c>
      <c r="B145" s="436" t="s">
        <v>2077</v>
      </c>
      <c r="C145" s="199"/>
      <c r="D145" s="197"/>
      <c r="E145" s="231"/>
      <c r="F145" s="215"/>
      <c r="G145" s="213"/>
      <c r="I145" s="3"/>
      <c r="J145" s="172"/>
    </row>
    <row r="146" spans="1:21" customFormat="1" ht="24.75" x14ac:dyDescent="0.25">
      <c r="A146" s="203"/>
      <c r="B146" s="213" t="s">
        <v>2078</v>
      </c>
      <c r="C146" s="199">
        <v>70</v>
      </c>
      <c r="D146" s="197" t="s">
        <v>110</v>
      </c>
      <c r="E146" s="231">
        <v>500000</v>
      </c>
      <c r="F146" s="215">
        <f>E146*C146</f>
        <v>35000000</v>
      </c>
      <c r="G146" s="213" t="s">
        <v>2570</v>
      </c>
      <c r="J146" s="172"/>
      <c r="L146" s="36"/>
      <c r="T146" s="36">
        <f>F146</f>
        <v>35000000</v>
      </c>
    </row>
    <row r="147" spans="1:21" customFormat="1" ht="24.75" x14ac:dyDescent="0.25">
      <c r="A147" s="203"/>
      <c r="B147" s="213" t="s">
        <v>2079</v>
      </c>
      <c r="C147" s="199">
        <v>70</v>
      </c>
      <c r="D147" s="197" t="s">
        <v>110</v>
      </c>
      <c r="E147" s="231">
        <v>200000</v>
      </c>
      <c r="F147" s="215">
        <f>E147*C147</f>
        <v>14000000</v>
      </c>
      <c r="G147" s="213" t="s">
        <v>2570</v>
      </c>
      <c r="J147" s="172"/>
      <c r="L147" s="36"/>
      <c r="T147" s="36">
        <f>F147</f>
        <v>14000000</v>
      </c>
    </row>
    <row r="148" spans="1:21" customFormat="1" ht="24.75" x14ac:dyDescent="0.25">
      <c r="A148" s="203"/>
      <c r="B148" s="213" t="s">
        <v>2080</v>
      </c>
      <c r="C148" s="199">
        <v>15</v>
      </c>
      <c r="D148" s="197" t="s">
        <v>95</v>
      </c>
      <c r="E148" s="231">
        <v>90000</v>
      </c>
      <c r="F148" s="215">
        <f t="shared" ref="F148:F153" si="12">E148*C148</f>
        <v>1350000</v>
      </c>
      <c r="G148" s="213" t="s">
        <v>2567</v>
      </c>
      <c r="L148" s="36"/>
      <c r="P148" s="36">
        <f t="shared" ref="P148:P153" si="13">F148</f>
        <v>1350000</v>
      </c>
      <c r="U148" s="36"/>
    </row>
    <row r="149" spans="1:21" customFormat="1" ht="24.75" x14ac:dyDescent="0.25">
      <c r="A149" s="203"/>
      <c r="B149" s="213" t="s">
        <v>2081</v>
      </c>
      <c r="C149" s="199">
        <v>3</v>
      </c>
      <c r="D149" s="197" t="s">
        <v>178</v>
      </c>
      <c r="E149" s="231">
        <v>149850</v>
      </c>
      <c r="F149" s="215">
        <f t="shared" si="12"/>
        <v>449550</v>
      </c>
      <c r="G149" s="213" t="s">
        <v>2567</v>
      </c>
      <c r="L149" s="36"/>
      <c r="P149" s="36">
        <f t="shared" si="13"/>
        <v>449550</v>
      </c>
      <c r="U149" s="36"/>
    </row>
    <row r="150" spans="1:21" customFormat="1" ht="24.75" x14ac:dyDescent="0.25">
      <c r="A150" s="203"/>
      <c r="B150" s="213" t="s">
        <v>2082</v>
      </c>
      <c r="C150" s="199">
        <v>90</v>
      </c>
      <c r="D150" s="197" t="s">
        <v>1495</v>
      </c>
      <c r="E150" s="231">
        <v>182200</v>
      </c>
      <c r="F150" s="215">
        <f t="shared" si="12"/>
        <v>16398000</v>
      </c>
      <c r="G150" s="213" t="s">
        <v>2567</v>
      </c>
      <c r="L150" s="36"/>
      <c r="P150" s="36">
        <f t="shared" si="13"/>
        <v>16398000</v>
      </c>
      <c r="U150" s="36"/>
    </row>
    <row r="151" spans="1:21" customFormat="1" ht="24.75" x14ac:dyDescent="0.25">
      <c r="A151" s="203"/>
      <c r="B151" s="213" t="s">
        <v>2083</v>
      </c>
      <c r="C151" s="199">
        <v>18</v>
      </c>
      <c r="D151" s="197" t="s">
        <v>110</v>
      </c>
      <c r="E151" s="231">
        <v>127000</v>
      </c>
      <c r="F151" s="215">
        <f t="shared" si="12"/>
        <v>2286000</v>
      </c>
      <c r="G151" s="213" t="s">
        <v>2567</v>
      </c>
      <c r="L151" s="36"/>
      <c r="P151" s="36">
        <f t="shared" si="13"/>
        <v>2286000</v>
      </c>
    </row>
    <row r="152" spans="1:21" customFormat="1" ht="24.75" x14ac:dyDescent="0.25">
      <c r="A152" s="203"/>
      <c r="B152" s="213" t="s">
        <v>2084</v>
      </c>
      <c r="C152" s="199">
        <v>3</v>
      </c>
      <c r="D152" s="197" t="s">
        <v>178</v>
      </c>
      <c r="E152" s="231">
        <v>280000</v>
      </c>
      <c r="F152" s="215">
        <f t="shared" si="12"/>
        <v>840000</v>
      </c>
      <c r="G152" s="213" t="s">
        <v>2567</v>
      </c>
      <c r="L152" s="36"/>
      <c r="P152" s="36">
        <f t="shared" si="13"/>
        <v>840000</v>
      </c>
      <c r="U152" s="36"/>
    </row>
    <row r="153" spans="1:21" customFormat="1" ht="24.75" x14ac:dyDescent="0.25">
      <c r="A153" s="212"/>
      <c r="B153" s="213" t="s">
        <v>2085</v>
      </c>
      <c r="C153" s="251">
        <v>3</v>
      </c>
      <c r="D153" s="251" t="s">
        <v>178</v>
      </c>
      <c r="E153" s="442">
        <v>180000</v>
      </c>
      <c r="F153" s="443">
        <f t="shared" si="12"/>
        <v>540000</v>
      </c>
      <c r="G153" s="213" t="s">
        <v>2567</v>
      </c>
      <c r="L153" s="36"/>
      <c r="P153" s="36">
        <f t="shared" si="13"/>
        <v>540000</v>
      </c>
      <c r="U153" s="172"/>
    </row>
    <row r="154" spans="1:21" customFormat="1" ht="15" x14ac:dyDescent="0.25">
      <c r="A154" s="203"/>
      <c r="B154" s="213"/>
      <c r="C154" s="199"/>
      <c r="D154" s="197"/>
      <c r="E154" s="231"/>
      <c r="F154" s="215"/>
      <c r="G154" s="213"/>
      <c r="J154" s="36"/>
      <c r="L154" s="36"/>
    </row>
    <row r="155" spans="1:21" customFormat="1" ht="15" x14ac:dyDescent="0.25">
      <c r="A155" s="203"/>
      <c r="B155" s="213"/>
      <c r="C155" s="199"/>
      <c r="D155" s="197"/>
      <c r="E155" s="231"/>
      <c r="F155" s="215"/>
      <c r="G155" s="213"/>
    </row>
    <row r="156" spans="1:21" customFormat="1" ht="15" x14ac:dyDescent="0.25">
      <c r="A156" s="203"/>
      <c r="B156" s="213"/>
      <c r="C156" s="199"/>
      <c r="D156" s="197"/>
      <c r="E156" s="231"/>
      <c r="F156" s="215"/>
      <c r="G156" s="213"/>
    </row>
    <row r="157" spans="1:21" customFormat="1" ht="15" x14ac:dyDescent="0.25">
      <c r="A157" s="1823" t="s">
        <v>26</v>
      </c>
      <c r="B157" s="1794"/>
      <c r="C157" s="213"/>
      <c r="D157" s="213"/>
      <c r="E157" s="213"/>
      <c r="F157" s="442">
        <f>SUM(F12:F156)</f>
        <v>345561246.18000001</v>
      </c>
      <c r="G157" s="213"/>
    </row>
    <row r="158" spans="1:21" x14ac:dyDescent="0.2">
      <c r="A158" s="1762" t="s">
        <v>549</v>
      </c>
      <c r="B158" s="1762"/>
      <c r="C158" s="188" t="s">
        <v>27</v>
      </c>
      <c r="D158" s="1763" t="s">
        <v>1429</v>
      </c>
      <c r="E158" s="1763"/>
      <c r="F158" s="1763"/>
      <c r="G158" s="188"/>
    </row>
    <row r="159" spans="1:21" x14ac:dyDescent="0.2">
      <c r="A159" s="1762" t="s">
        <v>28</v>
      </c>
      <c r="B159" s="1762"/>
      <c r="C159" s="188"/>
      <c r="D159" s="1764" t="s">
        <v>2834</v>
      </c>
      <c r="E159" s="1764"/>
      <c r="F159" s="1764"/>
      <c r="G159" s="188"/>
    </row>
    <row r="160" spans="1:21" x14ac:dyDescent="0.2">
      <c r="A160" s="186"/>
      <c r="B160" s="187"/>
      <c r="C160" s="188"/>
      <c r="D160" s="189"/>
      <c r="E160" s="218"/>
      <c r="F160" s="218"/>
      <c r="G160" s="188"/>
    </row>
    <row r="161" spans="1:7" x14ac:dyDescent="0.2">
      <c r="A161" s="186"/>
      <c r="B161" s="187"/>
      <c r="C161" s="188"/>
      <c r="D161" s="189"/>
      <c r="E161" s="218"/>
      <c r="F161" s="218"/>
      <c r="G161" s="188"/>
    </row>
    <row r="162" spans="1:7" x14ac:dyDescent="0.2">
      <c r="A162" s="1762"/>
      <c r="B162" s="1762"/>
      <c r="C162" s="188"/>
      <c r="D162" s="189"/>
      <c r="E162" s="1762"/>
      <c r="F162" s="1762"/>
      <c r="G162" s="188"/>
    </row>
    <row r="163" spans="1:7" x14ac:dyDescent="0.2">
      <c r="A163" s="1762" t="s">
        <v>29</v>
      </c>
      <c r="B163" s="1762"/>
      <c r="C163" s="188"/>
      <c r="D163" s="1762" t="s">
        <v>2993</v>
      </c>
      <c r="E163" s="1762"/>
      <c r="F163" s="1762"/>
      <c r="G163" s="188"/>
    </row>
    <row r="164" spans="1:7" x14ac:dyDescent="0.2">
      <c r="A164" s="1762" t="s">
        <v>0</v>
      </c>
      <c r="B164" s="1762"/>
      <c r="C164" s="1762"/>
      <c r="D164" s="1762"/>
      <c r="E164" s="1762"/>
      <c r="F164" s="1762"/>
      <c r="G164" s="185"/>
    </row>
    <row r="165" spans="1:7" x14ac:dyDescent="0.2">
      <c r="A165" s="1762" t="s">
        <v>1</v>
      </c>
      <c r="B165" s="1762"/>
      <c r="C165" s="1762"/>
      <c r="D165" s="1762"/>
      <c r="E165" s="1762"/>
      <c r="F165" s="1762"/>
      <c r="G165" s="185"/>
    </row>
    <row r="166" spans="1:7" x14ac:dyDescent="0.2">
      <c r="A166" s="1762" t="s">
        <v>1769</v>
      </c>
      <c r="B166" s="1762"/>
      <c r="C166" s="1762"/>
      <c r="D166" s="1762"/>
      <c r="E166" s="1762"/>
      <c r="F166" s="1762"/>
      <c r="G166" s="185"/>
    </row>
    <row r="167" spans="1:7" x14ac:dyDescent="0.2">
      <c r="A167" s="188"/>
      <c r="B167" s="188"/>
      <c r="C167" s="188"/>
      <c r="D167" s="218"/>
      <c r="E167" s="227"/>
      <c r="F167" s="188"/>
      <c r="G167" s="185"/>
    </row>
    <row r="168" spans="1:7" x14ac:dyDescent="0.2">
      <c r="A168" s="218" t="s">
        <v>1662</v>
      </c>
      <c r="B168" s="218" t="s">
        <v>911</v>
      </c>
      <c r="C168" s="218"/>
      <c r="D168" s="218"/>
      <c r="E168" s="227" t="s">
        <v>6</v>
      </c>
      <c r="F168" s="227" t="s">
        <v>461</v>
      </c>
      <c r="G168" s="185"/>
    </row>
    <row r="169" spans="1:7" x14ac:dyDescent="0.2">
      <c r="A169" s="218" t="s">
        <v>921</v>
      </c>
      <c r="B169" s="218" t="s">
        <v>1663</v>
      </c>
      <c r="C169" s="218"/>
      <c r="D169" s="218"/>
      <c r="E169" s="445"/>
      <c r="F169" s="218"/>
      <c r="G169" s="185"/>
    </row>
    <row r="170" spans="1:7" ht="50.25" customHeight="1" x14ac:dyDescent="0.2">
      <c r="A170" s="220" t="s">
        <v>1664</v>
      </c>
      <c r="B170" s="254" t="s">
        <v>1884</v>
      </c>
      <c r="C170" s="254"/>
      <c r="D170" s="218"/>
      <c r="E170" s="193" t="s">
        <v>515</v>
      </c>
      <c r="F170" s="193"/>
      <c r="G170" s="185"/>
    </row>
    <row r="171" spans="1:7" x14ac:dyDescent="0.2">
      <c r="A171" s="188" t="s">
        <v>971</v>
      </c>
      <c r="B171" s="188" t="s">
        <v>61</v>
      </c>
      <c r="C171" s="188"/>
      <c r="D171" s="188"/>
      <c r="E171" s="188"/>
      <c r="F171" s="188"/>
      <c r="G171" s="185"/>
    </row>
    <row r="172" spans="1:7" x14ac:dyDescent="0.2">
      <c r="A172" s="188" t="s">
        <v>62</v>
      </c>
      <c r="B172" s="188" t="s">
        <v>63</v>
      </c>
      <c r="C172" s="188"/>
      <c r="D172" s="218"/>
      <c r="E172" s="227"/>
      <c r="F172" s="188"/>
      <c r="G172" s="185"/>
    </row>
    <row r="173" spans="1:7" ht="9" customHeight="1" x14ac:dyDescent="0.2">
      <c r="A173" s="218"/>
      <c r="B173" s="218"/>
      <c r="C173" s="188"/>
      <c r="D173" s="218"/>
      <c r="E173" s="227"/>
      <c r="F173" s="188"/>
      <c r="G173" s="185"/>
    </row>
    <row r="174" spans="1:7" ht="24" x14ac:dyDescent="0.2">
      <c r="A174" s="198" t="s">
        <v>30</v>
      </c>
      <c r="B174" s="198" t="s">
        <v>11</v>
      </c>
      <c r="C174" s="1767" t="s">
        <v>12</v>
      </c>
      <c r="D174" s="1768"/>
      <c r="E174" s="446" t="s">
        <v>13</v>
      </c>
      <c r="F174" s="268" t="s">
        <v>14</v>
      </c>
      <c r="G174" s="200" t="s">
        <v>364</v>
      </c>
    </row>
    <row r="175" spans="1:7" x14ac:dyDescent="0.2">
      <c r="A175" s="197">
        <v>1</v>
      </c>
      <c r="B175" s="197">
        <v>2</v>
      </c>
      <c r="C175" s="1773">
        <v>3</v>
      </c>
      <c r="D175" s="1774"/>
      <c r="E175" s="447">
        <v>4</v>
      </c>
      <c r="F175" s="205">
        <v>5</v>
      </c>
      <c r="G175" s="202">
        <v>6</v>
      </c>
    </row>
    <row r="176" spans="1:7" x14ac:dyDescent="0.2">
      <c r="A176" s="197"/>
      <c r="B176" s="388" t="s">
        <v>1665</v>
      </c>
      <c r="C176" s="205"/>
      <c r="D176" s="206"/>
      <c r="E176" s="447"/>
      <c r="F176" s="205"/>
      <c r="G176" s="448"/>
    </row>
    <row r="177" spans="1:8" x14ac:dyDescent="0.2">
      <c r="A177" s="212" t="s">
        <v>1666</v>
      </c>
      <c r="B177" s="436" t="s">
        <v>287</v>
      </c>
      <c r="C177" s="243"/>
      <c r="D177" s="407"/>
      <c r="E177" s="230"/>
      <c r="F177" s="449"/>
      <c r="G177" s="369"/>
    </row>
    <row r="178" spans="1:8" ht="24" x14ac:dyDescent="0.2">
      <c r="A178" s="229" t="s">
        <v>1667</v>
      </c>
      <c r="B178" s="436" t="s">
        <v>86</v>
      </c>
      <c r="C178" s="243"/>
      <c r="D178" s="407"/>
      <c r="E178" s="230"/>
      <c r="F178" s="449"/>
      <c r="G178" s="369"/>
    </row>
    <row r="179" spans="1:8" ht="24" x14ac:dyDescent="0.2">
      <c r="A179" s="229" t="s">
        <v>1668</v>
      </c>
      <c r="B179" s="436" t="s">
        <v>738</v>
      </c>
      <c r="C179" s="243"/>
      <c r="D179" s="407"/>
      <c r="E179" s="230"/>
      <c r="F179" s="449"/>
      <c r="G179" s="369"/>
    </row>
    <row r="180" spans="1:8" x14ac:dyDescent="0.2">
      <c r="A180" s="229"/>
      <c r="B180" s="213" t="s">
        <v>2919</v>
      </c>
      <c r="C180" s="214">
        <v>20</v>
      </c>
      <c r="D180" s="244" t="s">
        <v>110</v>
      </c>
      <c r="E180" s="230">
        <v>87000</v>
      </c>
      <c r="F180" s="449">
        <f>E180*C180</f>
        <v>1740000</v>
      </c>
      <c r="G180" s="369"/>
      <c r="H180" s="457"/>
    </row>
    <row r="181" spans="1:8" x14ac:dyDescent="0.2">
      <c r="A181" s="229"/>
      <c r="B181" s="213" t="s">
        <v>1962</v>
      </c>
      <c r="C181" s="205">
        <v>20</v>
      </c>
      <c r="D181" s="206" t="s">
        <v>418</v>
      </c>
      <c r="E181" s="438">
        <v>5200</v>
      </c>
      <c r="F181" s="449">
        <f t="shared" ref="F181:F186" si="14">E181*C181</f>
        <v>104000</v>
      </c>
      <c r="G181" s="369"/>
      <c r="H181" s="457"/>
    </row>
    <row r="182" spans="1:8" x14ac:dyDescent="0.2">
      <c r="A182" s="229"/>
      <c r="B182" s="213" t="s">
        <v>602</v>
      </c>
      <c r="C182" s="205">
        <v>20</v>
      </c>
      <c r="D182" s="206" t="s">
        <v>418</v>
      </c>
      <c r="E182" s="438">
        <v>10000</v>
      </c>
      <c r="F182" s="449">
        <f t="shared" si="14"/>
        <v>200000</v>
      </c>
      <c r="G182" s="369"/>
    </row>
    <row r="183" spans="1:8" x14ac:dyDescent="0.2">
      <c r="A183" s="229"/>
      <c r="B183" s="213" t="s">
        <v>1885</v>
      </c>
      <c r="C183" s="205">
        <v>20</v>
      </c>
      <c r="D183" s="206" t="s">
        <v>1886</v>
      </c>
      <c r="E183" s="438">
        <v>5000</v>
      </c>
      <c r="F183" s="449">
        <f t="shared" si="14"/>
        <v>100000</v>
      </c>
      <c r="G183" s="369"/>
    </row>
    <row r="184" spans="1:8" x14ac:dyDescent="0.2">
      <c r="A184" s="229"/>
      <c r="B184" s="213" t="s">
        <v>1669</v>
      </c>
      <c r="C184" s="214">
        <v>40</v>
      </c>
      <c r="D184" s="206" t="s">
        <v>1887</v>
      </c>
      <c r="E184" s="438">
        <v>6000</v>
      </c>
      <c r="F184" s="449">
        <f t="shared" si="14"/>
        <v>240000</v>
      </c>
      <c r="G184" s="369"/>
    </row>
    <row r="185" spans="1:8" x14ac:dyDescent="0.2">
      <c r="A185" s="297"/>
      <c r="B185" s="213" t="s">
        <v>2985</v>
      </c>
      <c r="C185" s="214">
        <v>1</v>
      </c>
      <c r="D185" s="206" t="s">
        <v>110</v>
      </c>
      <c r="E185" s="438">
        <v>707000</v>
      </c>
      <c r="F185" s="449">
        <f t="shared" si="14"/>
        <v>707000</v>
      </c>
      <c r="G185" s="369"/>
    </row>
    <row r="186" spans="1:8" x14ac:dyDescent="0.2">
      <c r="A186" s="297"/>
      <c r="B186" s="213" t="s">
        <v>2985</v>
      </c>
      <c r="C186" s="214">
        <v>10</v>
      </c>
      <c r="D186" s="206" t="s">
        <v>110</v>
      </c>
      <c r="E186" s="438">
        <v>28000</v>
      </c>
      <c r="F186" s="449">
        <f t="shared" si="14"/>
        <v>280000</v>
      </c>
      <c r="G186" s="369"/>
    </row>
    <row r="187" spans="1:8" ht="24" x14ac:dyDescent="0.2">
      <c r="A187" s="297" t="s">
        <v>1670</v>
      </c>
      <c r="B187" s="436" t="s">
        <v>1671</v>
      </c>
      <c r="C187" s="214"/>
      <c r="D187" s="407"/>
      <c r="E187" s="230"/>
      <c r="F187" s="449"/>
      <c r="G187" s="369"/>
    </row>
    <row r="188" spans="1:8" ht="24" x14ac:dyDescent="0.2">
      <c r="A188" s="297"/>
      <c r="B188" s="213" t="s">
        <v>2956</v>
      </c>
      <c r="C188" s="214">
        <f>22*21</f>
        <v>462</v>
      </c>
      <c r="D188" s="206" t="s">
        <v>279</v>
      </c>
      <c r="E188" s="230">
        <v>15000</v>
      </c>
      <c r="F188" s="449">
        <f>E188*C188</f>
        <v>6930000</v>
      </c>
      <c r="G188" s="369"/>
    </row>
    <row r="189" spans="1:8" ht="24" x14ac:dyDescent="0.2">
      <c r="A189" s="229" t="s">
        <v>1672</v>
      </c>
      <c r="B189" s="436" t="s">
        <v>337</v>
      </c>
      <c r="C189" s="214"/>
      <c r="D189" s="206"/>
      <c r="E189" s="215"/>
      <c r="F189" s="449"/>
      <c r="G189" s="369"/>
    </row>
    <row r="190" spans="1:8" x14ac:dyDescent="0.2">
      <c r="A190" s="229"/>
      <c r="B190" s="213" t="s">
        <v>338</v>
      </c>
      <c r="C190" s="214">
        <v>1</v>
      </c>
      <c r="D190" s="206" t="s">
        <v>418</v>
      </c>
      <c r="E190" s="215">
        <v>107687.09</v>
      </c>
      <c r="F190" s="449">
        <f>E190*C190</f>
        <v>107687.09</v>
      </c>
      <c r="G190" s="369"/>
      <c r="H190" s="457"/>
    </row>
    <row r="191" spans="1:8" x14ac:dyDescent="0.2">
      <c r="A191" s="229" t="s">
        <v>1618</v>
      </c>
      <c r="B191" s="436" t="s">
        <v>511</v>
      </c>
      <c r="C191" s="214"/>
      <c r="D191" s="206"/>
      <c r="E191" s="230"/>
      <c r="F191" s="449"/>
      <c r="G191" s="369"/>
    </row>
    <row r="192" spans="1:8" ht="36" x14ac:dyDescent="0.2">
      <c r="A192" s="229" t="s">
        <v>1673</v>
      </c>
      <c r="B192" s="436" t="s">
        <v>517</v>
      </c>
      <c r="C192" s="214"/>
      <c r="D192" s="206"/>
      <c r="E192" s="230"/>
      <c r="F192" s="449"/>
      <c r="G192" s="369"/>
    </row>
    <row r="193" spans="1:19" x14ac:dyDescent="0.2">
      <c r="A193" s="217"/>
      <c r="B193" s="213" t="s">
        <v>2955</v>
      </c>
      <c r="C193" s="214">
        <f>21*2</f>
        <v>42</v>
      </c>
      <c r="D193" s="206" t="s">
        <v>2856</v>
      </c>
      <c r="E193" s="230">
        <v>100000</v>
      </c>
      <c r="F193" s="449">
        <f>E193*C193</f>
        <v>4200000</v>
      </c>
      <c r="G193" s="369"/>
    </row>
    <row r="194" spans="1:19" x14ac:dyDescent="0.2">
      <c r="A194" s="217"/>
      <c r="B194" s="364"/>
      <c r="C194" s="450"/>
      <c r="D194" s="451"/>
      <c r="E194" s="366"/>
      <c r="F194" s="367"/>
      <c r="G194" s="369"/>
    </row>
    <row r="195" spans="1:19" x14ac:dyDescent="0.2">
      <c r="A195" s="243"/>
      <c r="B195" s="1998" t="s">
        <v>26</v>
      </c>
      <c r="C195" s="1999"/>
      <c r="D195" s="1999"/>
      <c r="E195" s="2000"/>
      <c r="F195" s="452">
        <f>SUM(F180:F193)</f>
        <v>14608687.09</v>
      </c>
      <c r="G195" s="369" t="s">
        <v>2569</v>
      </c>
      <c r="L195" s="457"/>
      <c r="M195" s="457"/>
      <c r="S195" s="457">
        <f>F195</f>
        <v>14608687.09</v>
      </c>
    </row>
    <row r="196" spans="1:19" x14ac:dyDescent="0.2">
      <c r="A196" s="1762" t="s">
        <v>549</v>
      </c>
      <c r="B196" s="1762"/>
      <c r="C196" s="188" t="s">
        <v>27</v>
      </c>
      <c r="D196" s="1763" t="s">
        <v>1429</v>
      </c>
      <c r="E196" s="1763"/>
      <c r="F196" s="1763"/>
      <c r="G196" s="188"/>
    </row>
    <row r="197" spans="1:19" x14ac:dyDescent="0.2">
      <c r="A197" s="1762" t="s">
        <v>28</v>
      </c>
      <c r="B197" s="1762"/>
      <c r="C197" s="188"/>
      <c r="D197" s="1764" t="s">
        <v>2834</v>
      </c>
      <c r="E197" s="1764"/>
      <c r="F197" s="1764"/>
      <c r="G197" s="188"/>
    </row>
    <row r="198" spans="1:19" x14ac:dyDescent="0.2">
      <c r="A198" s="186"/>
      <c r="B198" s="187"/>
      <c r="C198" s="188"/>
      <c r="D198" s="189"/>
      <c r="E198" s="218"/>
      <c r="F198" s="218"/>
      <c r="G198" s="188"/>
    </row>
    <row r="199" spans="1:19" x14ac:dyDescent="0.2">
      <c r="A199" s="186"/>
      <c r="B199" s="187"/>
      <c r="C199" s="188"/>
      <c r="D199" s="189"/>
      <c r="E199" s="218"/>
      <c r="F199" s="218"/>
      <c r="G199" s="188"/>
    </row>
    <row r="200" spans="1:19" x14ac:dyDescent="0.2">
      <c r="A200" s="1762"/>
      <c r="B200" s="1762"/>
      <c r="C200" s="188"/>
      <c r="D200" s="189"/>
      <c r="E200" s="1762"/>
      <c r="F200" s="1762"/>
      <c r="G200" s="188"/>
    </row>
    <row r="201" spans="1:19" x14ac:dyDescent="0.2">
      <c r="A201" s="1762" t="s">
        <v>29</v>
      </c>
      <c r="B201" s="1762"/>
      <c r="C201" s="188"/>
      <c r="D201" s="1762" t="s">
        <v>2993</v>
      </c>
      <c r="E201" s="1762"/>
      <c r="F201" s="1762"/>
      <c r="G201" s="188"/>
    </row>
    <row r="202" spans="1:19" customFormat="1" ht="15" x14ac:dyDescent="0.25">
      <c r="A202" s="2002" t="s">
        <v>0</v>
      </c>
      <c r="B202" s="1991"/>
      <c r="C202" s="1991"/>
      <c r="D202" s="1991"/>
      <c r="E202" s="1991"/>
      <c r="F202" s="1991"/>
      <c r="G202" s="1991"/>
    </row>
    <row r="203" spans="1:19" customFormat="1" ht="15" x14ac:dyDescent="0.25">
      <c r="A203" s="1991" t="s">
        <v>1</v>
      </c>
      <c r="B203" s="1991"/>
      <c r="C203" s="1991"/>
      <c r="D203" s="1991"/>
      <c r="E203" s="1991"/>
      <c r="F203" s="1991"/>
      <c r="G203" s="1991"/>
    </row>
    <row r="204" spans="1:19" customFormat="1" ht="15" x14ac:dyDescent="0.25">
      <c r="A204" s="1991" t="s">
        <v>1769</v>
      </c>
      <c r="B204" s="1991"/>
      <c r="C204" s="1991"/>
      <c r="D204" s="1991"/>
      <c r="E204" s="1991"/>
      <c r="F204" s="1991"/>
      <c r="G204" s="1991"/>
    </row>
    <row r="205" spans="1:19" customFormat="1" ht="15" x14ac:dyDescent="0.25">
      <c r="A205" s="1419"/>
      <c r="B205" s="1419"/>
      <c r="C205" s="1434"/>
      <c r="D205" s="1434"/>
      <c r="E205" s="1434"/>
      <c r="F205" s="1434"/>
      <c r="G205" s="1434"/>
    </row>
    <row r="206" spans="1:19" customFormat="1" ht="24.75" x14ac:dyDescent="0.25">
      <c r="A206" s="1433" t="s">
        <v>570</v>
      </c>
      <c r="B206" s="1423" t="s">
        <v>571</v>
      </c>
      <c r="C206" s="1423"/>
      <c r="D206" s="1423"/>
      <c r="E206" s="1423"/>
      <c r="F206" s="1423"/>
      <c r="G206" s="1423"/>
    </row>
    <row r="207" spans="1:19" customFormat="1" ht="15" x14ac:dyDescent="0.25">
      <c r="A207" s="1435" t="s">
        <v>572</v>
      </c>
      <c r="B207" s="1423" t="s">
        <v>573</v>
      </c>
      <c r="C207" s="1423"/>
      <c r="D207" s="1423"/>
      <c r="E207" s="1423"/>
      <c r="F207" s="1420" t="s">
        <v>6</v>
      </c>
      <c r="G207" s="1423"/>
    </row>
    <row r="208" spans="1:19" customFormat="1" ht="48.75" x14ac:dyDescent="0.25">
      <c r="A208" s="1435" t="s">
        <v>362</v>
      </c>
      <c r="B208" s="1423" t="s">
        <v>2086</v>
      </c>
      <c r="C208" s="1423"/>
      <c r="D208" s="1423"/>
      <c r="E208" s="1423"/>
      <c r="F208" s="1436" t="s">
        <v>9</v>
      </c>
      <c r="G208" s="1423"/>
    </row>
    <row r="209" spans="1:7" customFormat="1" ht="15" x14ac:dyDescent="0.25">
      <c r="A209" s="1435" t="s">
        <v>35</v>
      </c>
      <c r="B209" s="1423" t="s">
        <v>63</v>
      </c>
      <c r="C209" s="1423"/>
      <c r="D209" s="1423"/>
      <c r="E209" s="1423"/>
      <c r="F209" s="1423"/>
      <c r="G209" s="1423"/>
    </row>
    <row r="210" spans="1:7" customFormat="1" ht="15" x14ac:dyDescent="0.25">
      <c r="A210" s="1435" t="s">
        <v>10</v>
      </c>
      <c r="B210" s="1423"/>
      <c r="C210" s="1423"/>
      <c r="D210" s="1423"/>
      <c r="E210" s="1423"/>
      <c r="F210" s="1423"/>
      <c r="G210" s="1423"/>
    </row>
    <row r="211" spans="1:7" customFormat="1" ht="24" x14ac:dyDescent="0.25">
      <c r="A211" s="1437" t="s">
        <v>575</v>
      </c>
      <c r="B211" s="1437" t="s">
        <v>11</v>
      </c>
      <c r="C211" s="2003" t="s">
        <v>12</v>
      </c>
      <c r="D211" s="2004"/>
      <c r="E211" s="1424" t="s">
        <v>13</v>
      </c>
      <c r="F211" s="1326" t="s">
        <v>14</v>
      </c>
      <c r="G211" s="1438" t="s">
        <v>329</v>
      </c>
    </row>
    <row r="212" spans="1:7" customFormat="1" ht="15" x14ac:dyDescent="0.25">
      <c r="A212" s="1325">
        <v>1</v>
      </c>
      <c r="B212" s="1325">
        <v>2</v>
      </c>
      <c r="C212" s="2005">
        <v>7</v>
      </c>
      <c r="D212" s="2005"/>
      <c r="E212" s="1330">
        <v>8</v>
      </c>
      <c r="F212" s="1330">
        <v>9</v>
      </c>
      <c r="G212" s="1330">
        <v>12</v>
      </c>
    </row>
    <row r="213" spans="1:7" customFormat="1" ht="15" x14ac:dyDescent="0.25">
      <c r="A213" s="1439" t="s">
        <v>1666</v>
      </c>
      <c r="B213" s="1355" t="s">
        <v>84</v>
      </c>
      <c r="C213" s="1425"/>
      <c r="D213" s="1426"/>
      <c r="E213" s="1326"/>
      <c r="F213" s="1326"/>
      <c r="G213" s="1326"/>
    </row>
    <row r="214" spans="1:7" customFormat="1" ht="24.75" x14ac:dyDescent="0.25">
      <c r="A214" s="1439" t="s">
        <v>1667</v>
      </c>
      <c r="B214" s="1440" t="s">
        <v>86</v>
      </c>
      <c r="C214" s="1441"/>
      <c r="D214" s="1442"/>
      <c r="E214" s="1356"/>
      <c r="F214" s="1356"/>
      <c r="G214" s="1356"/>
    </row>
    <row r="215" spans="1:7" customFormat="1" ht="24.75" x14ac:dyDescent="0.25">
      <c r="A215" s="1439" t="s">
        <v>1668</v>
      </c>
      <c r="B215" s="1443" t="s">
        <v>88</v>
      </c>
      <c r="C215" s="1441"/>
      <c r="D215" s="1442"/>
      <c r="E215" s="1356"/>
      <c r="F215" s="1356"/>
      <c r="G215" s="1356"/>
    </row>
    <row r="216" spans="1:7" customFormat="1" ht="15" x14ac:dyDescent="0.25">
      <c r="A216" s="1439"/>
      <c r="B216" s="1443" t="s">
        <v>579</v>
      </c>
      <c r="C216" s="1441"/>
      <c r="D216" s="1442"/>
      <c r="E216" s="1356"/>
      <c r="F216" s="1356"/>
      <c r="G216" s="1356"/>
    </row>
    <row r="217" spans="1:7" customFormat="1" ht="24" x14ac:dyDescent="0.25">
      <c r="A217" s="1439"/>
      <c r="B217" s="1444" t="s">
        <v>2058</v>
      </c>
      <c r="C217" s="1431">
        <v>70</v>
      </c>
      <c r="D217" s="1328" t="s">
        <v>507</v>
      </c>
      <c r="E217" s="1430">
        <v>30000</v>
      </c>
      <c r="F217" s="1357">
        <f>E217*C217</f>
        <v>2100000</v>
      </c>
      <c r="G217" s="1356"/>
    </row>
    <row r="218" spans="1:7" customFormat="1" ht="15" x14ac:dyDescent="0.25">
      <c r="A218" s="1439"/>
      <c r="B218" s="1444" t="s">
        <v>2087</v>
      </c>
      <c r="C218" s="1431">
        <v>140</v>
      </c>
      <c r="D218" s="1328" t="s">
        <v>276</v>
      </c>
      <c r="E218" s="1430">
        <v>5000</v>
      </c>
      <c r="F218" s="1357">
        <f>E218*C218</f>
        <v>700000</v>
      </c>
      <c r="G218" s="1356"/>
    </row>
    <row r="219" spans="1:7" customFormat="1" ht="48.75" x14ac:dyDescent="0.25">
      <c r="A219" s="1439" t="s">
        <v>1670</v>
      </c>
      <c r="B219" s="1443" t="s">
        <v>151</v>
      </c>
      <c r="C219" s="1431"/>
      <c r="D219" s="1328"/>
      <c r="E219" s="1429"/>
      <c r="F219" s="1357"/>
      <c r="G219" s="1356"/>
    </row>
    <row r="220" spans="1:7" customFormat="1" ht="24.75" x14ac:dyDescent="0.25">
      <c r="A220" s="1439"/>
      <c r="B220" s="1356" t="s">
        <v>2088</v>
      </c>
      <c r="C220" s="1431">
        <v>90</v>
      </c>
      <c r="D220" s="1328" t="s">
        <v>479</v>
      </c>
      <c r="E220" s="1429">
        <v>15000</v>
      </c>
      <c r="F220" s="1357">
        <f>E220*C220</f>
        <v>1350000</v>
      </c>
      <c r="G220" s="1356"/>
    </row>
    <row r="221" spans="1:7" customFormat="1" ht="15" x14ac:dyDescent="0.25">
      <c r="A221" s="1439"/>
      <c r="B221" s="1356" t="s">
        <v>1873</v>
      </c>
      <c r="C221" s="1431">
        <v>150</v>
      </c>
      <c r="D221" s="1328" t="s">
        <v>507</v>
      </c>
      <c r="E221" s="1429">
        <v>15000</v>
      </c>
      <c r="F221" s="1357">
        <f>E221*C221</f>
        <v>2250000</v>
      </c>
      <c r="G221" s="1356"/>
    </row>
    <row r="222" spans="1:7" customFormat="1" ht="24.75" x14ac:dyDescent="0.25">
      <c r="A222" s="1439" t="s">
        <v>1672</v>
      </c>
      <c r="B222" s="1440" t="s">
        <v>167</v>
      </c>
      <c r="C222" s="1431"/>
      <c r="D222" s="1328"/>
      <c r="E222" s="1357"/>
      <c r="F222" s="1357"/>
      <c r="G222" s="1356"/>
    </row>
    <row r="223" spans="1:7" customFormat="1" ht="15" x14ac:dyDescent="0.25">
      <c r="A223" s="1427"/>
      <c r="B223" s="1356" t="s">
        <v>2089</v>
      </c>
      <c r="C223" s="1431">
        <v>1</v>
      </c>
      <c r="D223" s="1328" t="s">
        <v>95</v>
      </c>
      <c r="E223" s="1429">
        <v>90000</v>
      </c>
      <c r="F223" s="1429">
        <f>E223*C223</f>
        <v>90000</v>
      </c>
      <c r="G223" s="1356"/>
    </row>
    <row r="224" spans="1:7" customFormat="1" ht="15" x14ac:dyDescent="0.25">
      <c r="A224" s="1439"/>
      <c r="B224" s="1356" t="s">
        <v>2090</v>
      </c>
      <c r="C224" s="1431">
        <v>1</v>
      </c>
      <c r="D224" s="1328" t="s">
        <v>95</v>
      </c>
      <c r="E224" s="1429">
        <v>90000</v>
      </c>
      <c r="F224" s="1429">
        <f>E224*C224</f>
        <v>90000</v>
      </c>
      <c r="G224" s="1356"/>
    </row>
    <row r="225" spans="1:12" customFormat="1" ht="24.75" x14ac:dyDescent="0.25">
      <c r="A225" s="1439" t="s">
        <v>2091</v>
      </c>
      <c r="B225" s="1440" t="s">
        <v>283</v>
      </c>
      <c r="C225" s="1431"/>
      <c r="D225" s="1328"/>
      <c r="E225" s="1429"/>
      <c r="F225" s="1357"/>
      <c r="G225" s="1356"/>
    </row>
    <row r="226" spans="1:12" customFormat="1" ht="15" x14ac:dyDescent="0.25">
      <c r="A226" s="1439"/>
      <c r="B226" s="1356" t="s">
        <v>2092</v>
      </c>
      <c r="C226" s="1431">
        <v>1</v>
      </c>
      <c r="D226" s="1428" t="s">
        <v>297</v>
      </c>
      <c r="E226" s="1429">
        <v>50000</v>
      </c>
      <c r="F226" s="1429">
        <f>C226*E226</f>
        <v>50000</v>
      </c>
      <c r="G226" s="1356"/>
    </row>
    <row r="227" spans="1:12" customFormat="1" ht="15" x14ac:dyDescent="0.25">
      <c r="A227" s="1439" t="s">
        <v>1618</v>
      </c>
      <c r="B227" s="1440" t="s">
        <v>180</v>
      </c>
      <c r="C227" s="1431"/>
      <c r="D227" s="1328"/>
      <c r="E227" s="1429"/>
      <c r="F227" s="1357"/>
      <c r="G227" s="1356"/>
    </row>
    <row r="228" spans="1:12" customFormat="1" ht="36.75" x14ac:dyDescent="0.25">
      <c r="A228" s="1445" t="s">
        <v>1673</v>
      </c>
      <c r="B228" s="1440" t="s">
        <v>2093</v>
      </c>
      <c r="C228" s="1431"/>
      <c r="D228" s="1328"/>
      <c r="E228" s="1429"/>
      <c r="F228" s="1357"/>
      <c r="G228" s="1356"/>
    </row>
    <row r="229" spans="1:12" customFormat="1" ht="15" x14ac:dyDescent="0.25">
      <c r="A229" s="1439"/>
      <c r="B229" s="1356" t="s">
        <v>188</v>
      </c>
      <c r="C229" s="1431">
        <v>1</v>
      </c>
      <c r="D229" s="1328" t="s">
        <v>279</v>
      </c>
      <c r="E229" s="1429">
        <v>300000</v>
      </c>
      <c r="F229" s="1357">
        <f>E229*C229</f>
        <v>300000</v>
      </c>
      <c r="G229" s="1356"/>
    </row>
    <row r="230" spans="1:12" customFormat="1" ht="15" x14ac:dyDescent="0.25">
      <c r="A230" s="1439"/>
      <c r="B230" s="1356" t="s">
        <v>2094</v>
      </c>
      <c r="C230" s="1431">
        <v>1</v>
      </c>
      <c r="D230" s="1328" t="s">
        <v>279</v>
      </c>
      <c r="E230" s="1429">
        <v>250000</v>
      </c>
      <c r="F230" s="1357">
        <f>E230*C230</f>
        <v>250000</v>
      </c>
      <c r="G230" s="1356"/>
    </row>
    <row r="231" spans="1:12" customFormat="1" ht="15" x14ac:dyDescent="0.25">
      <c r="A231" s="1439"/>
      <c r="B231" s="1356" t="s">
        <v>352</v>
      </c>
      <c r="C231" s="1431">
        <v>1</v>
      </c>
      <c r="D231" s="1328" t="s">
        <v>279</v>
      </c>
      <c r="E231" s="1429">
        <v>200000</v>
      </c>
      <c r="F231" s="1357">
        <f>E231*C231</f>
        <v>200000</v>
      </c>
      <c r="G231" s="1356"/>
    </row>
    <row r="232" spans="1:12" customFormat="1" ht="36.75" x14ac:dyDescent="0.25">
      <c r="A232" s="1445" t="s">
        <v>2095</v>
      </c>
      <c r="B232" s="1440" t="s">
        <v>657</v>
      </c>
      <c r="C232" s="1431"/>
      <c r="D232" s="1328"/>
      <c r="E232" s="1429"/>
      <c r="F232" s="1357"/>
      <c r="G232" s="1356"/>
    </row>
    <row r="233" spans="1:12" customFormat="1" ht="15" x14ac:dyDescent="0.25">
      <c r="A233" s="1439"/>
      <c r="B233" s="1356" t="s">
        <v>2096</v>
      </c>
      <c r="C233" s="1431">
        <f>6</f>
        <v>6</v>
      </c>
      <c r="D233" s="1328" t="s">
        <v>2097</v>
      </c>
      <c r="E233" s="1429">
        <v>300000</v>
      </c>
      <c r="F233" s="1357">
        <f>E233*C233</f>
        <v>1800000</v>
      </c>
      <c r="G233" s="1356"/>
    </row>
    <row r="234" spans="1:12" customFormat="1" ht="15" x14ac:dyDescent="0.25">
      <c r="A234" s="1427"/>
      <c r="B234" s="1356" t="s">
        <v>2098</v>
      </c>
      <c r="C234" s="1431">
        <v>3</v>
      </c>
      <c r="D234" s="1328" t="s">
        <v>279</v>
      </c>
      <c r="E234" s="1429">
        <v>300000</v>
      </c>
      <c r="F234" s="1357">
        <f>E234*C234</f>
        <v>900000</v>
      </c>
      <c r="G234" s="1356"/>
    </row>
    <row r="235" spans="1:12" customFormat="1" ht="15" x14ac:dyDescent="0.25">
      <c r="A235" s="1427"/>
      <c r="B235" s="1356"/>
      <c r="C235" s="1431"/>
      <c r="D235" s="1328"/>
      <c r="E235" s="1429"/>
      <c r="F235" s="1357"/>
      <c r="G235" s="1356"/>
    </row>
    <row r="236" spans="1:12" customFormat="1" ht="15" x14ac:dyDescent="0.25">
      <c r="A236" s="2006" t="s">
        <v>26</v>
      </c>
      <c r="B236" s="2007"/>
      <c r="C236" s="1441"/>
      <c r="D236" s="1442"/>
      <c r="E236" s="1356"/>
      <c r="F236" s="1446">
        <f>SUM(F213:F233)</f>
        <v>9180000</v>
      </c>
      <c r="G236" s="1356"/>
      <c r="L236" s="172"/>
    </row>
    <row r="237" spans="1:12" x14ac:dyDescent="0.2">
      <c r="A237" s="1933" t="s">
        <v>549</v>
      </c>
      <c r="B237" s="1933"/>
      <c r="C237" s="1421" t="s">
        <v>27</v>
      </c>
      <c r="D237" s="2008" t="s">
        <v>1429</v>
      </c>
      <c r="E237" s="2008"/>
      <c r="F237" s="2008"/>
      <c r="G237" s="1421"/>
    </row>
    <row r="238" spans="1:12" x14ac:dyDescent="0.2">
      <c r="A238" s="1933" t="s">
        <v>28</v>
      </c>
      <c r="B238" s="1933"/>
      <c r="C238" s="1421"/>
      <c r="D238" s="1990" t="s">
        <v>1777</v>
      </c>
      <c r="E238" s="1990"/>
      <c r="F238" s="1990"/>
      <c r="G238" s="1421"/>
    </row>
    <row r="239" spans="1:12" x14ac:dyDescent="0.2">
      <c r="A239" s="1433"/>
      <c r="B239" s="1423"/>
      <c r="C239" s="1421"/>
      <c r="D239" s="1432"/>
      <c r="E239" s="1422"/>
      <c r="F239" s="1422"/>
      <c r="G239" s="1421"/>
    </row>
    <row r="240" spans="1:12" x14ac:dyDescent="0.2">
      <c r="A240" s="1433"/>
      <c r="B240" s="1423"/>
      <c r="C240" s="1421"/>
      <c r="D240" s="1432"/>
      <c r="E240" s="1422"/>
      <c r="F240" s="1422"/>
      <c r="G240" s="1421"/>
    </row>
    <row r="241" spans="1:7" x14ac:dyDescent="0.2">
      <c r="A241" s="1933"/>
      <c r="B241" s="1933"/>
      <c r="C241" s="1421"/>
      <c r="D241" s="1432"/>
      <c r="E241" s="1933"/>
      <c r="F241" s="1933"/>
      <c r="G241" s="1421"/>
    </row>
    <row r="242" spans="1:7" x14ac:dyDescent="0.2">
      <c r="A242" s="1933" t="s">
        <v>29</v>
      </c>
      <c r="B242" s="1933"/>
      <c r="C242" s="1421"/>
      <c r="D242" s="1933" t="s">
        <v>550</v>
      </c>
      <c r="E242" s="1933"/>
      <c r="F242" s="1933"/>
      <c r="G242" s="1421"/>
    </row>
    <row r="243" spans="1:7" x14ac:dyDescent="0.2">
      <c r="A243" s="1807" t="s">
        <v>0</v>
      </c>
      <c r="B243" s="1807"/>
      <c r="C243" s="1807"/>
      <c r="D243" s="1807"/>
      <c r="E243" s="1807"/>
      <c r="F243" s="1807"/>
      <c r="G243" s="1138"/>
    </row>
    <row r="244" spans="1:7" x14ac:dyDescent="0.2">
      <c r="A244" s="1807" t="s">
        <v>1</v>
      </c>
      <c r="B244" s="1807"/>
      <c r="C244" s="1807"/>
      <c r="D244" s="1807"/>
      <c r="E244" s="1807"/>
      <c r="F244" s="1807"/>
      <c r="G244" s="1138"/>
    </row>
    <row r="245" spans="1:7" x14ac:dyDescent="0.2">
      <c r="A245" s="1807" t="s">
        <v>1425</v>
      </c>
      <c r="B245" s="1807"/>
      <c r="C245" s="1807"/>
      <c r="D245" s="1807"/>
      <c r="E245" s="1807"/>
      <c r="F245" s="1807"/>
      <c r="G245" s="1138"/>
    </row>
    <row r="246" spans="1:7" x14ac:dyDescent="0.2">
      <c r="A246" s="1141"/>
      <c r="B246" s="1141"/>
      <c r="C246" s="1141"/>
      <c r="D246" s="1164"/>
      <c r="E246" s="1144"/>
      <c r="F246" s="1141" t="s">
        <v>2362</v>
      </c>
      <c r="G246" s="1138"/>
    </row>
    <row r="247" spans="1:7" x14ac:dyDescent="0.2">
      <c r="A247" s="1164" t="s">
        <v>1662</v>
      </c>
      <c r="B247" s="1164" t="s">
        <v>911</v>
      </c>
      <c r="C247" s="1164"/>
      <c r="D247" s="1164"/>
      <c r="E247" s="1144" t="s">
        <v>6</v>
      </c>
      <c r="F247" s="1144" t="s">
        <v>461</v>
      </c>
      <c r="G247" s="1138"/>
    </row>
    <row r="248" spans="1:7" x14ac:dyDescent="0.2">
      <c r="A248" s="1164" t="s">
        <v>921</v>
      </c>
      <c r="B248" s="1164" t="s">
        <v>1663</v>
      </c>
      <c r="C248" s="1164"/>
      <c r="D248" s="1164"/>
      <c r="E248" s="1204"/>
      <c r="F248" s="1164"/>
      <c r="G248" s="1138"/>
    </row>
    <row r="249" spans="1:7" ht="60" x14ac:dyDescent="0.2">
      <c r="A249" s="1165" t="s">
        <v>1664</v>
      </c>
      <c r="B249" s="1205" t="s">
        <v>1683</v>
      </c>
      <c r="C249" s="1164"/>
      <c r="D249" s="1164"/>
      <c r="E249" s="1206" t="s">
        <v>515</v>
      </c>
      <c r="F249" s="1206"/>
      <c r="G249" s="1138"/>
    </row>
    <row r="250" spans="1:7" x14ac:dyDescent="0.2">
      <c r="A250" s="1141" t="s">
        <v>971</v>
      </c>
      <c r="B250" s="1141" t="s">
        <v>61</v>
      </c>
      <c r="C250" s="1141"/>
      <c r="D250" s="1141"/>
      <c r="E250" s="1141"/>
      <c r="F250" s="1141"/>
      <c r="G250" s="1138"/>
    </row>
    <row r="251" spans="1:7" x14ac:dyDescent="0.2">
      <c r="A251" s="1141" t="s">
        <v>62</v>
      </c>
      <c r="B251" s="1141" t="s">
        <v>63</v>
      </c>
      <c r="C251" s="1141"/>
      <c r="D251" s="1164"/>
      <c r="E251" s="1144"/>
      <c r="F251" s="1141"/>
      <c r="G251" s="1138"/>
    </row>
    <row r="252" spans="1:7" ht="9" customHeight="1" x14ac:dyDescent="0.2">
      <c r="A252" s="1164"/>
      <c r="B252" s="1164"/>
      <c r="C252" s="1141"/>
      <c r="D252" s="1164"/>
      <c r="E252" s="1144"/>
      <c r="F252" s="1141"/>
      <c r="G252" s="1138"/>
    </row>
    <row r="253" spans="1:7" ht="24" x14ac:dyDescent="0.2">
      <c r="A253" s="1146" t="s">
        <v>30</v>
      </c>
      <c r="B253" s="1146" t="s">
        <v>11</v>
      </c>
      <c r="C253" s="1809" t="s">
        <v>12</v>
      </c>
      <c r="D253" s="1810"/>
      <c r="E253" s="1170" t="s">
        <v>13</v>
      </c>
      <c r="F253" s="1168" t="s">
        <v>14</v>
      </c>
      <c r="G253" s="1150" t="s">
        <v>364</v>
      </c>
    </row>
    <row r="254" spans="1:7" x14ac:dyDescent="0.2">
      <c r="A254" s="1145">
        <v>1</v>
      </c>
      <c r="B254" s="1145">
        <v>2</v>
      </c>
      <c r="C254" s="1811">
        <v>3</v>
      </c>
      <c r="D254" s="1812"/>
      <c r="E254" s="1171">
        <v>4</v>
      </c>
      <c r="F254" s="1147">
        <v>5</v>
      </c>
      <c r="G254" s="1151">
        <v>6</v>
      </c>
    </row>
    <row r="255" spans="1:7" x14ac:dyDescent="0.2">
      <c r="A255" s="1145"/>
      <c r="B255" s="1207" t="s">
        <v>1665</v>
      </c>
      <c r="C255" s="1147"/>
      <c r="D255" s="1148"/>
      <c r="E255" s="1171"/>
      <c r="F255" s="1147"/>
      <c r="G255" s="1208"/>
    </row>
    <row r="256" spans="1:7" x14ac:dyDescent="0.2">
      <c r="A256" s="1172" t="s">
        <v>1666</v>
      </c>
      <c r="B256" s="1209" t="s">
        <v>287</v>
      </c>
      <c r="C256" s="1210"/>
      <c r="D256" s="1211"/>
      <c r="E256" s="1212"/>
      <c r="F256" s="1213"/>
      <c r="G256" s="1214"/>
    </row>
    <row r="257" spans="1:7" ht="24" x14ac:dyDescent="0.2">
      <c r="A257" s="1215" t="s">
        <v>1667</v>
      </c>
      <c r="B257" s="1209" t="s">
        <v>86</v>
      </c>
      <c r="C257" s="1210"/>
      <c r="D257" s="1211"/>
      <c r="E257" s="1212"/>
      <c r="F257" s="1213"/>
      <c r="G257" s="1214"/>
    </row>
    <row r="258" spans="1:7" ht="24" x14ac:dyDescent="0.2">
      <c r="A258" s="1215" t="s">
        <v>1668</v>
      </c>
      <c r="B258" s="1209" t="s">
        <v>738</v>
      </c>
      <c r="C258" s="1210"/>
      <c r="D258" s="1211"/>
      <c r="E258" s="1212"/>
      <c r="F258" s="1213"/>
      <c r="G258" s="1214"/>
    </row>
    <row r="259" spans="1:7" x14ac:dyDescent="0.2">
      <c r="A259" s="1215"/>
      <c r="B259" s="1161" t="s">
        <v>1684</v>
      </c>
      <c r="C259" s="1159">
        <v>7</v>
      </c>
      <c r="D259" s="1211" t="s">
        <v>110</v>
      </c>
      <c r="E259" s="1160">
        <v>5000</v>
      </c>
      <c r="F259" s="1213">
        <f>E259*C259</f>
        <v>35000</v>
      </c>
      <c r="G259" s="1214"/>
    </row>
    <row r="260" spans="1:7" x14ac:dyDescent="0.2">
      <c r="A260" s="1162"/>
      <c r="B260" s="1161" t="s">
        <v>1685</v>
      </c>
      <c r="C260" s="1159">
        <v>7</v>
      </c>
      <c r="D260" s="1211" t="s">
        <v>110</v>
      </c>
      <c r="E260" s="1160">
        <v>4000</v>
      </c>
      <c r="F260" s="1213">
        <f>E260*C260</f>
        <v>28000</v>
      </c>
      <c r="G260" s="1214"/>
    </row>
    <row r="261" spans="1:7" ht="24" x14ac:dyDescent="0.2">
      <c r="A261" s="1162" t="s">
        <v>1670</v>
      </c>
      <c r="B261" s="1209" t="s">
        <v>1671</v>
      </c>
      <c r="C261" s="1159"/>
      <c r="D261" s="1211"/>
      <c r="E261" s="1212"/>
      <c r="F261" s="1213"/>
      <c r="G261" s="1214"/>
    </row>
    <row r="262" spans="1:7" ht="48" x14ac:dyDescent="0.2">
      <c r="A262" s="1162"/>
      <c r="B262" s="1161" t="s">
        <v>1686</v>
      </c>
      <c r="C262" s="1159">
        <v>12</v>
      </c>
      <c r="D262" s="1211" t="s">
        <v>279</v>
      </c>
      <c r="E262" s="1212">
        <v>15000</v>
      </c>
      <c r="F262" s="1213">
        <f>E262*C262</f>
        <v>180000</v>
      </c>
      <c r="G262" s="1214"/>
    </row>
    <row r="263" spans="1:7" ht="48" x14ac:dyDescent="0.2">
      <c r="A263" s="1162"/>
      <c r="B263" s="1161" t="s">
        <v>1687</v>
      </c>
      <c r="C263" s="1159">
        <v>177</v>
      </c>
      <c r="D263" s="1211" t="s">
        <v>279</v>
      </c>
      <c r="E263" s="1212">
        <v>15000</v>
      </c>
      <c r="F263" s="1213">
        <f>E263*C263</f>
        <v>2655000</v>
      </c>
      <c r="G263" s="1214"/>
    </row>
    <row r="264" spans="1:7" x14ac:dyDescent="0.2">
      <c r="A264" s="1162" t="s">
        <v>1688</v>
      </c>
      <c r="B264" s="1209" t="s">
        <v>1018</v>
      </c>
      <c r="C264" s="1159"/>
      <c r="D264" s="1211"/>
      <c r="E264" s="1212"/>
      <c r="F264" s="1213"/>
      <c r="G264" s="1214"/>
    </row>
    <row r="265" spans="1:7" ht="24" x14ac:dyDescent="0.2">
      <c r="A265" s="1162"/>
      <c r="B265" s="1161" t="s">
        <v>1689</v>
      </c>
      <c r="C265" s="1159">
        <v>7</v>
      </c>
      <c r="D265" s="1211" t="s">
        <v>178</v>
      </c>
      <c r="E265" s="1212">
        <v>750000</v>
      </c>
      <c r="F265" s="1213">
        <f>E265*C265</f>
        <v>5250000</v>
      </c>
      <c r="G265" s="1214"/>
    </row>
    <row r="266" spans="1:7" x14ac:dyDescent="0.2">
      <c r="A266" s="1162"/>
      <c r="B266" s="1161" t="s">
        <v>1690</v>
      </c>
      <c r="C266" s="1159">
        <f>7*3</f>
        <v>21</v>
      </c>
      <c r="D266" s="1211" t="s">
        <v>222</v>
      </c>
      <c r="E266" s="1212">
        <v>250000</v>
      </c>
      <c r="F266" s="1213">
        <f>E266*C266</f>
        <v>5250000</v>
      </c>
      <c r="G266" s="1214"/>
    </row>
    <row r="267" spans="1:7" ht="24" x14ac:dyDescent="0.2">
      <c r="A267" s="1215" t="s">
        <v>1672</v>
      </c>
      <c r="B267" s="1209" t="s">
        <v>337</v>
      </c>
      <c r="C267" s="1159"/>
      <c r="D267" s="1211"/>
      <c r="E267" s="1160"/>
      <c r="F267" s="1213"/>
      <c r="G267" s="1214"/>
    </row>
    <row r="268" spans="1:7" x14ac:dyDescent="0.2">
      <c r="A268" s="1215"/>
      <c r="B268" s="1161" t="s">
        <v>338</v>
      </c>
      <c r="C268" s="1159">
        <v>2</v>
      </c>
      <c r="D268" s="1211" t="s">
        <v>95</v>
      </c>
      <c r="E268" s="1160">
        <v>90000</v>
      </c>
      <c r="F268" s="1213">
        <f>E268*C268</f>
        <v>180000</v>
      </c>
      <c r="G268" s="1214"/>
    </row>
    <row r="269" spans="1:7" x14ac:dyDescent="0.2">
      <c r="A269" s="1215" t="s">
        <v>1618</v>
      </c>
      <c r="B269" s="1209" t="s">
        <v>511</v>
      </c>
      <c r="C269" s="1159"/>
      <c r="D269" s="1211"/>
      <c r="E269" s="1212"/>
      <c r="F269" s="1213"/>
      <c r="G269" s="1214"/>
    </row>
    <row r="270" spans="1:7" ht="36" x14ac:dyDescent="0.2">
      <c r="A270" s="1215" t="s">
        <v>1673</v>
      </c>
      <c r="B270" s="1209" t="s">
        <v>517</v>
      </c>
      <c r="C270" s="1159"/>
      <c r="D270" s="1211"/>
      <c r="E270" s="1212"/>
      <c r="F270" s="1213"/>
      <c r="G270" s="1214"/>
    </row>
    <row r="271" spans="1:7" x14ac:dyDescent="0.2">
      <c r="A271" s="1156"/>
      <c r="B271" s="1161" t="s">
        <v>1691</v>
      </c>
      <c r="C271" s="1159">
        <v>2</v>
      </c>
      <c r="D271" s="1211" t="s">
        <v>279</v>
      </c>
      <c r="E271" s="1212">
        <v>300000</v>
      </c>
      <c r="F271" s="1213">
        <f>E271*C271</f>
        <v>600000</v>
      </c>
      <c r="G271" s="1214"/>
    </row>
    <row r="272" spans="1:7" x14ac:dyDescent="0.2">
      <c r="A272" s="1156"/>
      <c r="B272" s="1216"/>
      <c r="C272" s="1217"/>
      <c r="D272" s="1218"/>
      <c r="E272" s="1188"/>
      <c r="F272" s="1219"/>
      <c r="G272" s="1214"/>
    </row>
    <row r="273" spans="1:7" x14ac:dyDescent="0.2">
      <c r="A273" s="1210"/>
      <c r="B273" s="1974" t="s">
        <v>26</v>
      </c>
      <c r="C273" s="1975"/>
      <c r="D273" s="1975"/>
      <c r="E273" s="1976"/>
      <c r="F273" s="1220">
        <f>SUM(F259:F272)</f>
        <v>14178000</v>
      </c>
      <c r="G273" s="1214"/>
    </row>
    <row r="274" spans="1:7" x14ac:dyDescent="0.2">
      <c r="A274" s="1807" t="s">
        <v>549</v>
      </c>
      <c r="B274" s="1807"/>
      <c r="C274" s="1141" t="s">
        <v>27</v>
      </c>
      <c r="D274" s="1808" t="s">
        <v>1429</v>
      </c>
      <c r="E274" s="1808"/>
      <c r="F274" s="1808"/>
      <c r="G274" s="1141"/>
    </row>
    <row r="275" spans="1:7" x14ac:dyDescent="0.2">
      <c r="A275" s="1807" t="s">
        <v>28</v>
      </c>
      <c r="B275" s="1807"/>
      <c r="C275" s="1141"/>
      <c r="D275" s="1908" t="s">
        <v>1427</v>
      </c>
      <c r="E275" s="1908"/>
      <c r="F275" s="1908"/>
      <c r="G275" s="1141"/>
    </row>
    <row r="276" spans="1:7" x14ac:dyDescent="0.2">
      <c r="A276" s="1139"/>
      <c r="B276" s="1140"/>
      <c r="C276" s="1141"/>
      <c r="D276" s="1142"/>
      <c r="E276" s="1164"/>
      <c r="F276" s="1164"/>
      <c r="G276" s="1141"/>
    </row>
    <row r="277" spans="1:7" x14ac:dyDescent="0.2">
      <c r="A277" s="1139"/>
      <c r="B277" s="1140"/>
      <c r="C277" s="1141"/>
      <c r="D277" s="1142"/>
      <c r="E277" s="1164"/>
      <c r="F277" s="1164"/>
      <c r="G277" s="1141"/>
    </row>
    <row r="278" spans="1:7" x14ac:dyDescent="0.2">
      <c r="A278" s="1807"/>
      <c r="B278" s="1807"/>
      <c r="C278" s="1141"/>
      <c r="D278" s="1142"/>
      <c r="E278" s="1807"/>
      <c r="F278" s="1807"/>
      <c r="G278" s="1141"/>
    </row>
    <row r="279" spans="1:7" x14ac:dyDescent="0.2">
      <c r="A279" s="1807" t="s">
        <v>29</v>
      </c>
      <c r="B279" s="1807"/>
      <c r="C279" s="1141"/>
      <c r="D279" s="1807" t="s">
        <v>550</v>
      </c>
      <c r="E279" s="1807"/>
      <c r="F279" s="1807"/>
      <c r="G279" s="1141"/>
    </row>
    <row r="280" spans="1:7" customFormat="1" ht="15" x14ac:dyDescent="0.25">
      <c r="A280" s="1937" t="s">
        <v>0</v>
      </c>
      <c r="B280" s="1937"/>
      <c r="C280" s="1937"/>
      <c r="D280" s="1937"/>
      <c r="E280" s="1937"/>
      <c r="F280" s="1937"/>
      <c r="G280" s="1937"/>
    </row>
    <row r="281" spans="1:7" customFormat="1" ht="15" x14ac:dyDescent="0.25">
      <c r="A281" s="1937" t="s">
        <v>1</v>
      </c>
      <c r="B281" s="1937"/>
      <c r="C281" s="1937"/>
      <c r="D281" s="1937"/>
      <c r="E281" s="1937"/>
      <c r="F281" s="1937"/>
      <c r="G281" s="1937"/>
    </row>
    <row r="282" spans="1:7" customFormat="1" ht="15" x14ac:dyDescent="0.25">
      <c r="A282" s="1937" t="s">
        <v>1769</v>
      </c>
      <c r="B282" s="1937"/>
      <c r="C282" s="1937"/>
      <c r="D282" s="1937"/>
      <c r="E282" s="1937"/>
      <c r="F282" s="1937"/>
      <c r="G282" s="1937"/>
    </row>
    <row r="283" spans="1:7" customFormat="1" ht="15" x14ac:dyDescent="0.25">
      <c r="A283" s="298"/>
      <c r="B283" s="298"/>
      <c r="C283" s="300"/>
      <c r="D283" s="300"/>
      <c r="E283" s="298"/>
      <c r="F283" s="298"/>
      <c r="G283" s="849"/>
    </row>
    <row r="284" spans="1:7" customFormat="1" ht="30" x14ac:dyDescent="0.25">
      <c r="A284" s="304" t="s">
        <v>359</v>
      </c>
      <c r="B284" s="310" t="s">
        <v>57</v>
      </c>
      <c r="C284" s="301"/>
      <c r="D284" s="302"/>
      <c r="E284" s="306" t="s">
        <v>6</v>
      </c>
      <c r="F284" s="303"/>
      <c r="G284" s="1096"/>
    </row>
    <row r="285" spans="1:7" customFormat="1" ht="30" x14ac:dyDescent="0.25">
      <c r="A285" s="667" t="s">
        <v>360</v>
      </c>
      <c r="B285" s="692" t="s">
        <v>573</v>
      </c>
      <c r="C285" s="692"/>
      <c r="D285" s="692"/>
      <c r="E285" s="692" t="s">
        <v>329</v>
      </c>
      <c r="F285" s="223"/>
      <c r="G285" s="1097"/>
    </row>
    <row r="286" spans="1:7" customFormat="1" ht="60" x14ac:dyDescent="0.25">
      <c r="A286" s="667" t="s">
        <v>362</v>
      </c>
      <c r="B286" s="692" t="s">
        <v>2453</v>
      </c>
      <c r="C286" s="692"/>
      <c r="D286" s="692"/>
      <c r="E286" s="692"/>
      <c r="F286" s="223"/>
      <c r="G286" s="691"/>
    </row>
    <row r="287" spans="1:7" customFormat="1" ht="24" customHeight="1" x14ac:dyDescent="0.25">
      <c r="A287" s="664" t="s">
        <v>545</v>
      </c>
      <c r="B287" s="664" t="s">
        <v>2454</v>
      </c>
      <c r="C287" s="690"/>
      <c r="D287" s="690"/>
      <c r="E287" s="690"/>
      <c r="F287" s="690"/>
      <c r="G287" s="1096"/>
    </row>
    <row r="288" spans="1:7" customFormat="1" ht="15" x14ac:dyDescent="0.25">
      <c r="A288" s="298" t="s">
        <v>422</v>
      </c>
      <c r="B288" s="298" t="s">
        <v>546</v>
      </c>
      <c r="C288" s="300"/>
      <c r="D288" s="300"/>
      <c r="E288" s="298"/>
      <c r="F288" s="298"/>
      <c r="G288" s="849"/>
    </row>
    <row r="289" spans="1:11" customFormat="1" ht="15" x14ac:dyDescent="0.25">
      <c r="A289" s="1814" t="s">
        <v>503</v>
      </c>
      <c r="B289" s="1814"/>
      <c r="C289" s="690"/>
      <c r="D289" s="690"/>
      <c r="E289" s="303"/>
      <c r="F289" s="301"/>
      <c r="G289" s="849"/>
    </row>
    <row r="290" spans="1:11" customFormat="1" ht="15" x14ac:dyDescent="0.25">
      <c r="A290" s="690"/>
      <c r="B290" s="690"/>
      <c r="C290" s="690"/>
      <c r="D290" s="690"/>
      <c r="E290" s="690"/>
      <c r="F290" s="690"/>
      <c r="G290" s="849"/>
    </row>
    <row r="291" spans="1:11" customFormat="1" ht="45" x14ac:dyDescent="0.25">
      <c r="A291" s="311" t="s">
        <v>30</v>
      </c>
      <c r="B291" s="311" t="s">
        <v>11</v>
      </c>
      <c r="C291" s="1816" t="s">
        <v>12</v>
      </c>
      <c r="D291" s="1817"/>
      <c r="E291" s="961" t="s">
        <v>13</v>
      </c>
      <c r="F291" s="313" t="s">
        <v>14</v>
      </c>
      <c r="G291" s="669" t="s">
        <v>364</v>
      </c>
    </row>
    <row r="292" spans="1:11" customFormat="1" ht="15" x14ac:dyDescent="0.25">
      <c r="A292" s="323">
        <v>1</v>
      </c>
      <c r="B292" s="323">
        <v>2</v>
      </c>
      <c r="C292" s="1838">
        <v>3</v>
      </c>
      <c r="D292" s="1839"/>
      <c r="E292" s="962">
        <v>4</v>
      </c>
      <c r="F292" s="321">
        <v>5</v>
      </c>
      <c r="G292" s="671">
        <v>6</v>
      </c>
    </row>
    <row r="293" spans="1:11" customFormat="1" ht="15" x14ac:dyDescent="0.25">
      <c r="A293" s="348" t="s">
        <v>2455</v>
      </c>
      <c r="B293" s="349" t="s">
        <v>424</v>
      </c>
      <c r="C293" s="345"/>
      <c r="D293" s="344"/>
      <c r="E293" s="1098"/>
      <c r="F293" s="1098"/>
      <c r="G293" s="863"/>
    </row>
    <row r="294" spans="1:11" customFormat="1" ht="30" x14ac:dyDescent="0.25">
      <c r="A294" s="348" t="s">
        <v>2456</v>
      </c>
      <c r="B294" s="349" t="s">
        <v>2445</v>
      </c>
      <c r="C294" s="345"/>
      <c r="D294" s="344"/>
      <c r="E294" s="1098"/>
      <c r="F294" s="1098"/>
      <c r="G294" s="863"/>
    </row>
    <row r="295" spans="1:11" customFormat="1" ht="45" x14ac:dyDescent="0.25">
      <c r="A295" s="348" t="s">
        <v>2457</v>
      </c>
      <c r="B295" s="332" t="s">
        <v>428</v>
      </c>
      <c r="C295" s="345"/>
      <c r="D295" s="344"/>
      <c r="E295" s="328"/>
      <c r="F295" s="328"/>
      <c r="G295" s="863"/>
    </row>
    <row r="296" spans="1:11" customFormat="1" ht="15.75" thickBot="1" x14ac:dyDescent="0.3">
      <c r="A296" s="348"/>
      <c r="B296" s="332" t="s">
        <v>2447</v>
      </c>
      <c r="C296" s="345">
        <v>1</v>
      </c>
      <c r="D296" s="927" t="s">
        <v>2458</v>
      </c>
      <c r="E296" s="1099">
        <v>454066</v>
      </c>
      <c r="F296" s="1099">
        <f>E296*C296</f>
        <v>454066</v>
      </c>
      <c r="G296" s="863"/>
      <c r="H296" s="32"/>
    </row>
    <row r="297" spans="1:11" customFormat="1" ht="15.75" thickBot="1" x14ac:dyDescent="0.3">
      <c r="A297" s="348"/>
      <c r="B297" s="332"/>
      <c r="C297" s="1938" t="s">
        <v>548</v>
      </c>
      <c r="D297" s="1939"/>
      <c r="E297" s="1940"/>
      <c r="F297" s="1100">
        <f>SUM(F296:F296)</f>
        <v>454066</v>
      </c>
      <c r="G297" s="332"/>
    </row>
    <row r="298" spans="1:11" customFormat="1" ht="30" x14ac:dyDescent="0.25">
      <c r="A298" s="348" t="s">
        <v>2459</v>
      </c>
      <c r="B298" s="735" t="s">
        <v>2448</v>
      </c>
      <c r="C298" s="1101"/>
      <c r="D298" s="1102"/>
      <c r="E298" s="1103"/>
      <c r="F298" s="1103"/>
      <c r="G298" s="332"/>
    </row>
    <row r="299" spans="1:11" customFormat="1" ht="15" x14ac:dyDescent="0.25">
      <c r="A299" s="348"/>
      <c r="B299" s="735" t="s">
        <v>1489</v>
      </c>
      <c r="C299" s="1104">
        <v>5</v>
      </c>
      <c r="D299" s="1105" t="s">
        <v>419</v>
      </c>
      <c r="E299" s="1106">
        <v>150000</v>
      </c>
      <c r="F299" s="1107">
        <f>E299*C299</f>
        <v>750000</v>
      </c>
      <c r="G299" s="332"/>
    </row>
    <row r="300" spans="1:11" customFormat="1" ht="15" x14ac:dyDescent="0.25">
      <c r="A300" s="348"/>
      <c r="B300" s="332" t="s">
        <v>1490</v>
      </c>
      <c r="C300" s="1104">
        <v>10</v>
      </c>
      <c r="D300" s="1105" t="s">
        <v>419</v>
      </c>
      <c r="E300" s="334">
        <v>130000</v>
      </c>
      <c r="F300" s="1098">
        <f>E300*C300</f>
        <v>1300000</v>
      </c>
      <c r="G300" s="863"/>
    </row>
    <row r="301" spans="1:11" customFormat="1" ht="15.75" thickBot="1" x14ac:dyDescent="0.3">
      <c r="A301" s="348"/>
      <c r="B301" s="332"/>
      <c r="C301" s="1108"/>
      <c r="D301" s="322"/>
      <c r="E301" s="1109"/>
      <c r="F301" s="328"/>
      <c r="G301" s="332"/>
      <c r="I301" s="83"/>
      <c r="J301" s="83"/>
      <c r="K301" s="83"/>
    </row>
    <row r="302" spans="1:11" customFormat="1" ht="15.75" thickBot="1" x14ac:dyDescent="0.3">
      <c r="A302" s="348"/>
      <c r="B302" s="332"/>
      <c r="C302" s="1938" t="s">
        <v>548</v>
      </c>
      <c r="D302" s="1939"/>
      <c r="E302" s="1940"/>
      <c r="F302" s="1100">
        <f>F300+F299</f>
        <v>2050000</v>
      </c>
      <c r="G302" s="332"/>
      <c r="I302" s="83"/>
      <c r="J302" s="83"/>
      <c r="K302" s="83"/>
    </row>
    <row r="303" spans="1:11" customFormat="1" ht="30" x14ac:dyDescent="0.25">
      <c r="A303" s="348" t="s">
        <v>2460</v>
      </c>
      <c r="B303" s="332" t="s">
        <v>2449</v>
      </c>
      <c r="C303" s="1110"/>
      <c r="D303" s="1111"/>
      <c r="E303" s="1109"/>
      <c r="F303" s="1109"/>
      <c r="G303" s="332"/>
      <c r="I303" s="83"/>
      <c r="J303" s="83"/>
      <c r="K303" s="83"/>
    </row>
    <row r="304" spans="1:11" customFormat="1" ht="30" x14ac:dyDescent="0.25">
      <c r="A304" s="359"/>
      <c r="B304" s="1112" t="s">
        <v>2461</v>
      </c>
      <c r="C304" s="1110">
        <v>20.25</v>
      </c>
      <c r="D304" s="1111" t="s">
        <v>1495</v>
      </c>
      <c r="E304" s="1109">
        <v>721500</v>
      </c>
      <c r="F304" s="1109">
        <f>E304*C304</f>
        <v>14610375</v>
      </c>
      <c r="G304" s="1113"/>
      <c r="I304" s="32"/>
      <c r="J304" s="32"/>
    </row>
    <row r="305" spans="1:20" customFormat="1" ht="15" x14ac:dyDescent="0.25">
      <c r="A305" s="348"/>
      <c r="B305" s="1114" t="s">
        <v>2462</v>
      </c>
      <c r="C305" s="1110">
        <v>20.25</v>
      </c>
      <c r="D305" s="1111" t="s">
        <v>1495</v>
      </c>
      <c r="E305" s="1109">
        <v>49950</v>
      </c>
      <c r="F305" s="1109">
        <f>E305*C305</f>
        <v>1011487.5</v>
      </c>
      <c r="G305" s="332"/>
      <c r="I305" s="32"/>
      <c r="J305" s="32"/>
    </row>
    <row r="306" spans="1:20" customFormat="1" ht="30.75" thickBot="1" x14ac:dyDescent="0.3">
      <c r="A306" s="348"/>
      <c r="B306" s="1112" t="s">
        <v>2463</v>
      </c>
      <c r="C306" s="1110">
        <v>20.25</v>
      </c>
      <c r="D306" s="1111" t="s">
        <v>1495</v>
      </c>
      <c r="E306" s="334">
        <v>83250</v>
      </c>
      <c r="F306" s="1109">
        <f>E306*C306</f>
        <v>1685812.5</v>
      </c>
      <c r="G306" s="332"/>
      <c r="I306" s="32"/>
      <c r="J306" s="32"/>
    </row>
    <row r="307" spans="1:20" customFormat="1" ht="15.75" thickBot="1" x14ac:dyDescent="0.3">
      <c r="A307" s="323"/>
      <c r="B307" s="334"/>
      <c r="C307" s="1778" t="s">
        <v>548</v>
      </c>
      <c r="D307" s="1779"/>
      <c r="E307" s="1780"/>
      <c r="F307" s="1115">
        <f>SUM(F304:F306)</f>
        <v>17307675</v>
      </c>
      <c r="G307" s="332"/>
      <c r="J307" s="32"/>
    </row>
    <row r="308" spans="1:20" customFormat="1" ht="15" x14ac:dyDescent="0.25">
      <c r="A308" s="323"/>
      <c r="B308" s="335"/>
      <c r="C308" s="1108"/>
      <c r="D308" s="1116"/>
      <c r="E308" s="334"/>
      <c r="F308" s="1004"/>
      <c r="G308" s="332"/>
    </row>
    <row r="309" spans="1:20" customFormat="1" ht="30" x14ac:dyDescent="0.25">
      <c r="A309" s="563"/>
      <c r="B309" s="1969" t="s">
        <v>26</v>
      </c>
      <c r="C309" s="1970"/>
      <c r="D309" s="1970"/>
      <c r="E309" s="1971"/>
      <c r="F309" s="1117">
        <f>F307+F302+F297</f>
        <v>19811741</v>
      </c>
      <c r="G309" s="346" t="s">
        <v>2570</v>
      </c>
      <c r="K309" s="32"/>
      <c r="L309" s="32"/>
      <c r="T309" s="32">
        <f>F309</f>
        <v>19811741</v>
      </c>
    </row>
    <row r="310" spans="1:20" x14ac:dyDescent="0.2">
      <c r="A310" s="1762" t="s">
        <v>549</v>
      </c>
      <c r="B310" s="1762"/>
      <c r="C310" s="188" t="s">
        <v>27</v>
      </c>
      <c r="D310" s="1763" t="s">
        <v>1429</v>
      </c>
      <c r="E310" s="1763"/>
      <c r="F310" s="1763"/>
      <c r="G310" s="188"/>
    </row>
    <row r="311" spans="1:20" x14ac:dyDescent="0.2">
      <c r="A311" s="1762" t="s">
        <v>28</v>
      </c>
      <c r="B311" s="1762"/>
      <c r="C311" s="188"/>
      <c r="D311" s="1764" t="s">
        <v>2833</v>
      </c>
      <c r="E311" s="1764"/>
      <c r="F311" s="1764"/>
      <c r="G311" s="188"/>
    </row>
    <row r="312" spans="1:20" x14ac:dyDescent="0.2">
      <c r="A312" s="186"/>
      <c r="B312" s="187"/>
      <c r="C312" s="188"/>
      <c r="D312" s="189"/>
      <c r="E312" s="218"/>
      <c r="F312" s="218"/>
      <c r="G312" s="188"/>
    </row>
    <row r="313" spans="1:20" x14ac:dyDescent="0.2">
      <c r="A313" s="186"/>
      <c r="B313" s="187"/>
      <c r="C313" s="188"/>
      <c r="D313" s="189"/>
      <c r="E313" s="218"/>
      <c r="F313" s="218"/>
      <c r="G313" s="188"/>
    </row>
    <row r="314" spans="1:20" x14ac:dyDescent="0.2">
      <c r="A314" s="1762"/>
      <c r="B314" s="1762"/>
      <c r="C314" s="188"/>
      <c r="D314" s="189"/>
      <c r="E314" s="1762"/>
      <c r="F314" s="1762"/>
      <c r="G314" s="188"/>
    </row>
    <row r="315" spans="1:20" x14ac:dyDescent="0.2">
      <c r="A315" s="1762" t="s">
        <v>29</v>
      </c>
      <c r="B315" s="1762"/>
      <c r="C315" s="188"/>
      <c r="D315" s="1762" t="s">
        <v>2954</v>
      </c>
      <c r="E315" s="1762"/>
      <c r="F315" s="1762"/>
      <c r="G315" s="188"/>
    </row>
    <row r="316" spans="1:20" x14ac:dyDescent="0.2">
      <c r="A316" s="1762" t="s">
        <v>0</v>
      </c>
      <c r="B316" s="1762"/>
      <c r="C316" s="1762"/>
      <c r="D316" s="1762"/>
      <c r="E316" s="1762"/>
      <c r="F316" s="1762"/>
      <c r="G316" s="185"/>
    </row>
    <row r="317" spans="1:20" x14ac:dyDescent="0.2">
      <c r="A317" s="1762" t="s">
        <v>1</v>
      </c>
      <c r="B317" s="1762"/>
      <c r="C317" s="1762"/>
      <c r="D317" s="1762"/>
      <c r="E317" s="1762"/>
      <c r="F317" s="1762"/>
      <c r="G317" s="185"/>
    </row>
    <row r="318" spans="1:20" x14ac:dyDescent="0.2">
      <c r="A318" s="1762" t="s">
        <v>1425</v>
      </c>
      <c r="B318" s="1762"/>
      <c r="C318" s="1762"/>
      <c r="D318" s="1762"/>
      <c r="E318" s="1762"/>
      <c r="F318" s="1762"/>
      <c r="G318" s="185"/>
    </row>
    <row r="319" spans="1:20" x14ac:dyDescent="0.2">
      <c r="A319" s="188"/>
      <c r="B319" s="188"/>
      <c r="C319" s="188"/>
      <c r="D319" s="218"/>
      <c r="E319" s="227"/>
      <c r="F319" s="188"/>
      <c r="G319" s="185"/>
    </row>
    <row r="320" spans="1:20" x14ac:dyDescent="0.2">
      <c r="A320" s="218" t="s">
        <v>1662</v>
      </c>
      <c r="B320" s="218" t="s">
        <v>911</v>
      </c>
      <c r="C320" s="218"/>
      <c r="D320" s="218"/>
      <c r="E320" s="227" t="s">
        <v>6</v>
      </c>
      <c r="F320" s="227" t="s">
        <v>461</v>
      </c>
      <c r="G320" s="185"/>
    </row>
    <row r="321" spans="1:7" x14ac:dyDescent="0.2">
      <c r="A321" s="218" t="s">
        <v>921</v>
      </c>
      <c r="B321" s="218" t="s">
        <v>1663</v>
      </c>
      <c r="C321" s="218"/>
      <c r="D321" s="218"/>
      <c r="E321" s="445"/>
      <c r="F321" s="218"/>
      <c r="G321" s="185"/>
    </row>
    <row r="322" spans="1:7" ht="72" x14ac:dyDescent="0.2">
      <c r="A322" s="220" t="s">
        <v>1664</v>
      </c>
      <c r="B322" s="455" t="s">
        <v>1695</v>
      </c>
      <c r="C322" s="218"/>
      <c r="D322" s="218"/>
      <c r="E322" s="193" t="s">
        <v>515</v>
      </c>
      <c r="F322" s="193"/>
      <c r="G322" s="185"/>
    </row>
    <row r="323" spans="1:7" x14ac:dyDescent="0.2">
      <c r="A323" s="188" t="s">
        <v>971</v>
      </c>
      <c r="B323" s="188" t="s">
        <v>61</v>
      </c>
      <c r="C323" s="188"/>
      <c r="D323" s="188"/>
      <c r="E323" s="188"/>
      <c r="F323" s="188"/>
      <c r="G323" s="185"/>
    </row>
    <row r="324" spans="1:7" x14ac:dyDescent="0.2">
      <c r="A324" s="188" t="s">
        <v>62</v>
      </c>
      <c r="B324" s="188" t="s">
        <v>63</v>
      </c>
      <c r="C324" s="188"/>
      <c r="D324" s="218"/>
      <c r="E324" s="227"/>
      <c r="F324" s="188"/>
      <c r="G324" s="185"/>
    </row>
    <row r="325" spans="1:7" ht="9" customHeight="1" x14ac:dyDescent="0.2">
      <c r="A325" s="218"/>
      <c r="B325" s="218"/>
      <c r="C325" s="188"/>
      <c r="D325" s="218"/>
      <c r="E325" s="227"/>
      <c r="F325" s="188"/>
      <c r="G325" s="185"/>
    </row>
    <row r="326" spans="1:7" ht="24" x14ac:dyDescent="0.2">
      <c r="A326" s="198" t="s">
        <v>30</v>
      </c>
      <c r="B326" s="198" t="s">
        <v>11</v>
      </c>
      <c r="C326" s="1767" t="s">
        <v>12</v>
      </c>
      <c r="D326" s="1768"/>
      <c r="E326" s="446" t="s">
        <v>13</v>
      </c>
      <c r="F326" s="268" t="s">
        <v>14</v>
      </c>
      <c r="G326" s="200" t="s">
        <v>364</v>
      </c>
    </row>
    <row r="327" spans="1:7" x14ac:dyDescent="0.2">
      <c r="A327" s="197">
        <v>1</v>
      </c>
      <c r="B327" s="197">
        <v>2</v>
      </c>
      <c r="C327" s="1773">
        <v>3</v>
      </c>
      <c r="D327" s="1774"/>
      <c r="E327" s="447">
        <v>4</v>
      </c>
      <c r="F327" s="205">
        <v>5</v>
      </c>
      <c r="G327" s="202">
        <v>6</v>
      </c>
    </row>
    <row r="328" spans="1:7" x14ac:dyDescent="0.2">
      <c r="A328" s="197"/>
      <c r="B328" s="388" t="s">
        <v>1665</v>
      </c>
      <c r="C328" s="205"/>
      <c r="D328" s="206"/>
      <c r="E328" s="447"/>
      <c r="F328" s="205"/>
      <c r="G328" s="448"/>
    </row>
    <row r="329" spans="1:7" x14ac:dyDescent="0.2">
      <c r="A329" s="212" t="s">
        <v>1696</v>
      </c>
      <c r="B329" s="436" t="s">
        <v>287</v>
      </c>
      <c r="C329" s="243"/>
      <c r="D329" s="407"/>
      <c r="E329" s="230"/>
      <c r="F329" s="449"/>
      <c r="G329" s="369"/>
    </row>
    <row r="330" spans="1:7" ht="24" x14ac:dyDescent="0.2">
      <c r="A330" s="229" t="s">
        <v>1697</v>
      </c>
      <c r="B330" s="436" t="s">
        <v>86</v>
      </c>
      <c r="C330" s="243"/>
      <c r="D330" s="407"/>
      <c r="E330" s="230"/>
      <c r="F330" s="449"/>
      <c r="G330" s="369"/>
    </row>
    <row r="331" spans="1:7" ht="24" x14ac:dyDescent="0.2">
      <c r="A331" s="229" t="s">
        <v>1698</v>
      </c>
      <c r="B331" s="436" t="s">
        <v>738</v>
      </c>
      <c r="C331" s="243"/>
      <c r="D331" s="407"/>
      <c r="E331" s="230"/>
      <c r="F331" s="449"/>
      <c r="G331" s="369"/>
    </row>
    <row r="332" spans="1:7" x14ac:dyDescent="0.2">
      <c r="A332" s="229"/>
      <c r="B332" s="213" t="s">
        <v>2877</v>
      </c>
      <c r="C332" s="214">
        <v>1</v>
      </c>
      <c r="D332" s="407" t="s">
        <v>604</v>
      </c>
      <c r="E332" s="215">
        <v>5000000</v>
      </c>
      <c r="F332" s="449">
        <f>E332*C332</f>
        <v>5000000</v>
      </c>
      <c r="G332" s="369"/>
    </row>
    <row r="333" spans="1:7" x14ac:dyDescent="0.2">
      <c r="A333" s="229"/>
      <c r="B333" s="213" t="s">
        <v>2878</v>
      </c>
      <c r="C333" s="214">
        <v>1</v>
      </c>
      <c r="D333" s="407" t="s">
        <v>604</v>
      </c>
      <c r="E333" s="215">
        <v>1000000</v>
      </c>
      <c r="F333" s="449">
        <f t="shared" ref="F333:F338" si="15">E333*C333</f>
        <v>1000000</v>
      </c>
      <c r="G333" s="369"/>
    </row>
    <row r="334" spans="1:7" x14ac:dyDescent="0.2">
      <c r="A334" s="229"/>
      <c r="B334" s="213" t="s">
        <v>2879</v>
      </c>
      <c r="C334" s="214">
        <v>1</v>
      </c>
      <c r="D334" s="407" t="s">
        <v>106</v>
      </c>
      <c r="E334" s="215">
        <v>1000000</v>
      </c>
      <c r="F334" s="449">
        <f t="shared" si="15"/>
        <v>1000000</v>
      </c>
      <c r="G334" s="369"/>
    </row>
    <row r="335" spans="1:7" x14ac:dyDescent="0.2">
      <c r="A335" s="229"/>
      <c r="B335" s="213" t="s">
        <v>2880</v>
      </c>
      <c r="C335" s="214">
        <v>1</v>
      </c>
      <c r="D335" s="407" t="s">
        <v>106</v>
      </c>
      <c r="E335" s="215">
        <v>2000000</v>
      </c>
      <c r="F335" s="449">
        <f t="shared" si="15"/>
        <v>2000000</v>
      </c>
      <c r="G335" s="369"/>
    </row>
    <row r="336" spans="1:7" x14ac:dyDescent="0.2">
      <c r="A336" s="229"/>
      <c r="B336" s="213" t="s">
        <v>2881</v>
      </c>
      <c r="C336" s="214">
        <v>1</v>
      </c>
      <c r="D336" s="407" t="s">
        <v>106</v>
      </c>
      <c r="E336" s="215">
        <v>1000000</v>
      </c>
      <c r="F336" s="449">
        <f t="shared" si="15"/>
        <v>1000000</v>
      </c>
      <c r="G336" s="369"/>
    </row>
    <row r="337" spans="1:18" x14ac:dyDescent="0.2">
      <c r="A337" s="229"/>
      <c r="B337" s="213" t="s">
        <v>2882</v>
      </c>
      <c r="C337" s="214">
        <v>1</v>
      </c>
      <c r="D337" s="407" t="s">
        <v>604</v>
      </c>
      <c r="E337" s="215">
        <v>2000000</v>
      </c>
      <c r="F337" s="449">
        <f t="shared" si="15"/>
        <v>2000000</v>
      </c>
      <c r="G337" s="369"/>
    </row>
    <row r="338" spans="1:18" x14ac:dyDescent="0.2">
      <c r="A338" s="229"/>
      <c r="B338" s="213" t="s">
        <v>2883</v>
      </c>
      <c r="C338" s="214">
        <v>1</v>
      </c>
      <c r="D338" s="407" t="s">
        <v>106</v>
      </c>
      <c r="E338" s="215">
        <v>2000000</v>
      </c>
      <c r="F338" s="449">
        <f t="shared" si="15"/>
        <v>2000000</v>
      </c>
      <c r="G338" s="369"/>
    </row>
    <row r="339" spans="1:18" ht="24" x14ac:dyDescent="0.2">
      <c r="A339" s="229" t="s">
        <v>1699</v>
      </c>
      <c r="B339" s="436" t="s">
        <v>1700</v>
      </c>
      <c r="C339" s="243"/>
      <c r="D339" s="407"/>
      <c r="E339" s="230"/>
      <c r="F339" s="449"/>
      <c r="G339" s="369"/>
    </row>
    <row r="340" spans="1:18" ht="24" x14ac:dyDescent="0.2">
      <c r="A340" s="229"/>
      <c r="B340" s="213" t="s">
        <v>1701</v>
      </c>
      <c r="C340" s="214">
        <v>1</v>
      </c>
      <c r="D340" s="407" t="s">
        <v>195</v>
      </c>
      <c r="E340" s="215">
        <v>5000000</v>
      </c>
      <c r="F340" s="449">
        <f>E340*C340</f>
        <v>5000000</v>
      </c>
      <c r="G340" s="369"/>
    </row>
    <row r="341" spans="1:18" x14ac:dyDescent="0.2">
      <c r="A341" s="229" t="s">
        <v>1702</v>
      </c>
      <c r="B341" s="436" t="s">
        <v>215</v>
      </c>
      <c r="C341" s="243"/>
      <c r="D341" s="407"/>
      <c r="E341" s="230"/>
      <c r="F341" s="449"/>
      <c r="G341" s="369"/>
    </row>
    <row r="342" spans="1:18" ht="24" x14ac:dyDescent="0.2">
      <c r="A342" s="229" t="s">
        <v>1703</v>
      </c>
      <c r="B342" s="436" t="s">
        <v>217</v>
      </c>
      <c r="C342" s="214"/>
      <c r="D342" s="407"/>
      <c r="E342" s="215"/>
      <c r="F342" s="449"/>
      <c r="G342" s="369"/>
    </row>
    <row r="343" spans="1:18" ht="24" x14ac:dyDescent="0.2">
      <c r="A343" s="229"/>
      <c r="B343" s="213" t="s">
        <v>1704</v>
      </c>
      <c r="C343" s="214">
        <v>1</v>
      </c>
      <c r="D343" s="407" t="s">
        <v>930</v>
      </c>
      <c r="E343" s="215">
        <v>2000000</v>
      </c>
      <c r="F343" s="449">
        <f>E343*C343</f>
        <v>2000000</v>
      </c>
      <c r="G343" s="369"/>
    </row>
    <row r="344" spans="1:18" ht="24" x14ac:dyDescent="0.2">
      <c r="A344" s="243"/>
      <c r="B344" s="1823" t="s">
        <v>26</v>
      </c>
      <c r="C344" s="1794"/>
      <c r="D344" s="1794"/>
      <c r="E344" s="1795"/>
      <c r="F344" s="368">
        <f>SUM(F332:F343)</f>
        <v>21000000</v>
      </c>
      <c r="G344" s="369" t="s">
        <v>2568</v>
      </c>
      <c r="L344" s="457"/>
      <c r="R344" s="457">
        <f>F344</f>
        <v>21000000</v>
      </c>
    </row>
    <row r="345" spans="1:18" x14ac:dyDescent="0.2">
      <c r="A345" s="1762" t="s">
        <v>549</v>
      </c>
      <c r="B345" s="1762"/>
      <c r="C345" s="188" t="s">
        <v>27</v>
      </c>
      <c r="D345" s="1763" t="s">
        <v>1429</v>
      </c>
      <c r="E345" s="1763"/>
      <c r="F345" s="1763"/>
      <c r="G345" s="188"/>
    </row>
    <row r="346" spans="1:18" x14ac:dyDescent="0.2">
      <c r="A346" s="1762" t="s">
        <v>28</v>
      </c>
      <c r="B346" s="1762"/>
      <c r="C346" s="188"/>
      <c r="D346" s="1764" t="s">
        <v>2833</v>
      </c>
      <c r="E346" s="1764"/>
      <c r="F346" s="1764"/>
      <c r="G346" s="188"/>
    </row>
    <row r="347" spans="1:18" x14ac:dyDescent="0.2">
      <c r="A347" s="186"/>
      <c r="B347" s="187"/>
      <c r="C347" s="188"/>
      <c r="D347" s="189"/>
      <c r="E347" s="218"/>
      <c r="F347" s="218"/>
      <c r="G347" s="188"/>
    </row>
    <row r="348" spans="1:18" x14ac:dyDescent="0.2">
      <c r="A348" s="186"/>
      <c r="B348" s="187"/>
      <c r="C348" s="188"/>
      <c r="D348" s="189"/>
      <c r="E348" s="218"/>
      <c r="F348" s="218"/>
      <c r="G348" s="188"/>
    </row>
    <row r="349" spans="1:18" x14ac:dyDescent="0.2">
      <c r="A349" s="1762"/>
      <c r="B349" s="1762"/>
      <c r="C349" s="188"/>
      <c r="D349" s="189"/>
      <c r="E349" s="1762"/>
      <c r="F349" s="1762"/>
      <c r="G349" s="188"/>
    </row>
    <row r="350" spans="1:18" x14ac:dyDescent="0.2">
      <c r="A350" s="1762" t="s">
        <v>29</v>
      </c>
      <c r="B350" s="1762"/>
      <c r="C350" s="188"/>
      <c r="D350" s="1762" t="s">
        <v>2954</v>
      </c>
      <c r="E350" s="1762"/>
      <c r="F350" s="1762"/>
      <c r="G350" s="188"/>
    </row>
    <row r="351" spans="1:18" x14ac:dyDescent="0.2">
      <c r="B351" s="456"/>
      <c r="C351" s="456"/>
      <c r="D351" s="456"/>
      <c r="E351" s="456"/>
      <c r="F351" s="457"/>
      <c r="G351" s="458"/>
    </row>
    <row r="352" spans="1:18" x14ac:dyDescent="0.2">
      <c r="A352" s="1765" t="s">
        <v>0</v>
      </c>
      <c r="B352" s="1765"/>
      <c r="C352" s="1765"/>
      <c r="D352" s="1765"/>
      <c r="E352" s="1765"/>
      <c r="F352" s="1765"/>
    </row>
    <row r="353" spans="1:7" x14ac:dyDescent="0.2">
      <c r="A353" s="1765" t="s">
        <v>1</v>
      </c>
      <c r="B353" s="1765"/>
      <c r="C353" s="1765"/>
      <c r="D353" s="1765"/>
      <c r="E353" s="1765"/>
      <c r="F353" s="1765"/>
    </row>
    <row r="354" spans="1:7" x14ac:dyDescent="0.2">
      <c r="A354" s="1765" t="s">
        <v>1769</v>
      </c>
      <c r="B354" s="1765"/>
      <c r="C354" s="1765"/>
      <c r="D354" s="1765"/>
      <c r="E354" s="1765"/>
      <c r="F354" s="1765"/>
    </row>
    <row r="355" spans="1:7" x14ac:dyDescent="0.2">
      <c r="A355" s="185" t="s">
        <v>690</v>
      </c>
      <c r="B355" s="185" t="s">
        <v>689</v>
      </c>
      <c r="C355" s="185"/>
      <c r="D355" s="185"/>
      <c r="E355" s="185"/>
      <c r="F355" s="459" t="s">
        <v>6</v>
      </c>
    </row>
    <row r="356" spans="1:7" x14ac:dyDescent="0.2">
      <c r="A356" s="385" t="s">
        <v>247</v>
      </c>
      <c r="B356" s="385" t="s">
        <v>688</v>
      </c>
      <c r="C356" s="185"/>
      <c r="D356" s="185"/>
      <c r="E356" s="185"/>
      <c r="F356" s="460" t="s">
        <v>515</v>
      </c>
    </row>
    <row r="357" spans="1:7" x14ac:dyDescent="0.2">
      <c r="A357" s="385" t="s">
        <v>687</v>
      </c>
      <c r="B357" s="385" t="s">
        <v>705</v>
      </c>
      <c r="C357" s="185"/>
      <c r="D357" s="185"/>
      <c r="E357" s="185"/>
      <c r="F357" s="185"/>
    </row>
    <row r="358" spans="1:7" x14ac:dyDescent="0.2">
      <c r="A358" s="185" t="s">
        <v>521</v>
      </c>
      <c r="B358" s="185" t="s">
        <v>546</v>
      </c>
      <c r="C358" s="185"/>
      <c r="D358" s="185"/>
      <c r="E358" s="185"/>
      <c r="F358" s="185"/>
    </row>
    <row r="359" spans="1:7" x14ac:dyDescent="0.2">
      <c r="A359" s="1893" t="s">
        <v>503</v>
      </c>
      <c r="B359" s="1893"/>
      <c r="C359" s="185"/>
      <c r="D359" s="185"/>
      <c r="E359" s="185"/>
      <c r="F359" s="185"/>
    </row>
    <row r="360" spans="1:7" ht="24" x14ac:dyDescent="0.2">
      <c r="A360" s="461" t="s">
        <v>30</v>
      </c>
      <c r="B360" s="461" t="s">
        <v>11</v>
      </c>
      <c r="C360" s="1972" t="s">
        <v>12</v>
      </c>
      <c r="D360" s="1973"/>
      <c r="E360" s="462" t="s">
        <v>13</v>
      </c>
      <c r="F360" s="461" t="s">
        <v>14</v>
      </c>
      <c r="G360" s="200" t="s">
        <v>34</v>
      </c>
    </row>
    <row r="361" spans="1:7" x14ac:dyDescent="0.2">
      <c r="A361" s="197">
        <v>1</v>
      </c>
      <c r="B361" s="197">
        <v>2</v>
      </c>
      <c r="C361" s="1773">
        <v>3</v>
      </c>
      <c r="D361" s="1774"/>
      <c r="E361" s="2">
        <v>4</v>
      </c>
      <c r="F361" s="205">
        <v>5</v>
      </c>
      <c r="G361" s="202">
        <v>6</v>
      </c>
    </row>
    <row r="362" spans="1:7" x14ac:dyDescent="0.2">
      <c r="A362" s="391" t="s">
        <v>685</v>
      </c>
      <c r="B362" s="391" t="s">
        <v>314</v>
      </c>
      <c r="C362" s="419"/>
      <c r="D362" s="420"/>
      <c r="E362" s="200"/>
      <c r="F362" s="200"/>
      <c r="G362" s="242"/>
    </row>
    <row r="363" spans="1:7" x14ac:dyDescent="0.2">
      <c r="A363" s="391" t="s">
        <v>684</v>
      </c>
      <c r="B363" s="391" t="s">
        <v>683</v>
      </c>
      <c r="C363" s="419"/>
      <c r="D363" s="420"/>
      <c r="E363" s="200"/>
      <c r="F363" s="200"/>
      <c r="G363" s="242"/>
    </row>
    <row r="364" spans="1:7" ht="24" x14ac:dyDescent="0.2">
      <c r="A364" s="391" t="s">
        <v>682</v>
      </c>
      <c r="B364" s="369" t="s">
        <v>681</v>
      </c>
      <c r="C364" s="419"/>
      <c r="D364" s="420"/>
      <c r="E364" s="200"/>
      <c r="F364" s="200"/>
      <c r="G364" s="242"/>
    </row>
    <row r="365" spans="1:7" x14ac:dyDescent="0.2">
      <c r="A365" s="391"/>
      <c r="B365" s="463" t="s">
        <v>2857</v>
      </c>
      <c r="C365" s="419">
        <v>3</v>
      </c>
      <c r="D365" s="420" t="s">
        <v>89</v>
      </c>
      <c r="E365" s="464">
        <v>70000</v>
      </c>
      <c r="F365" s="422">
        <f>E365*C365</f>
        <v>210000</v>
      </c>
      <c r="G365" s="242"/>
    </row>
    <row r="366" spans="1:7" x14ac:dyDescent="0.2">
      <c r="A366" s="257"/>
      <c r="B366" s="369" t="s">
        <v>1778</v>
      </c>
      <c r="C366" s="419">
        <v>65</v>
      </c>
      <c r="D366" s="420" t="s">
        <v>110</v>
      </c>
      <c r="E366" s="464">
        <v>6500</v>
      </c>
      <c r="F366" s="422">
        <f>E366*C366</f>
        <v>422500</v>
      </c>
      <c r="G366" s="242"/>
    </row>
    <row r="367" spans="1:7" x14ac:dyDescent="0.2">
      <c r="A367" s="200"/>
      <c r="B367" s="242" t="s">
        <v>2802</v>
      </c>
      <c r="C367" s="205">
        <v>156</v>
      </c>
      <c r="D367" s="206" t="s">
        <v>110</v>
      </c>
      <c r="E367" s="175">
        <v>3500</v>
      </c>
      <c r="F367" s="422">
        <f>E367*C367</f>
        <v>546000</v>
      </c>
      <c r="G367" s="242"/>
    </row>
    <row r="368" spans="1:7" x14ac:dyDescent="0.2">
      <c r="A368" s="200"/>
      <c r="B368" s="465" t="s">
        <v>704</v>
      </c>
      <c r="C368" s="205">
        <v>13</v>
      </c>
      <c r="D368" s="206" t="s">
        <v>110</v>
      </c>
      <c r="E368" s="175">
        <v>100000</v>
      </c>
      <c r="F368" s="422">
        <f>C368*E368</f>
        <v>1300000</v>
      </c>
      <c r="G368" s="242"/>
    </row>
    <row r="369" spans="1:7" x14ac:dyDescent="0.2">
      <c r="A369" s="200"/>
      <c r="B369" s="465" t="s">
        <v>703</v>
      </c>
      <c r="C369" s="205">
        <v>13</v>
      </c>
      <c r="D369" s="206" t="s">
        <v>110</v>
      </c>
      <c r="E369" s="175">
        <v>50000</v>
      </c>
      <c r="F369" s="422">
        <f>C369*E369</f>
        <v>650000</v>
      </c>
      <c r="G369" s="242"/>
    </row>
    <row r="370" spans="1:7" x14ac:dyDescent="0.2">
      <c r="A370" s="200"/>
      <c r="B370" s="465" t="s">
        <v>702</v>
      </c>
      <c r="C370" s="205">
        <v>13</v>
      </c>
      <c r="D370" s="206" t="s">
        <v>110</v>
      </c>
      <c r="E370" s="175">
        <v>55000</v>
      </c>
      <c r="F370" s="422">
        <f>C370*E370</f>
        <v>715000</v>
      </c>
      <c r="G370" s="242"/>
    </row>
    <row r="371" spans="1:7" x14ac:dyDescent="0.2">
      <c r="A371" s="200"/>
      <c r="B371" s="465" t="s">
        <v>701</v>
      </c>
      <c r="C371" s="205">
        <v>52</v>
      </c>
      <c r="D371" s="206" t="s">
        <v>110</v>
      </c>
      <c r="E371" s="175">
        <v>17000</v>
      </c>
      <c r="F371" s="422">
        <f>E371*C371</f>
        <v>884000</v>
      </c>
      <c r="G371" s="242"/>
    </row>
    <row r="372" spans="1:7" x14ac:dyDescent="0.2">
      <c r="A372" s="200"/>
      <c r="B372" s="465"/>
      <c r="C372" s="205"/>
      <c r="D372" s="206"/>
      <c r="E372" s="175"/>
      <c r="F372" s="422"/>
      <c r="G372" s="242"/>
    </row>
    <row r="373" spans="1:7" ht="34.5" customHeight="1" x14ac:dyDescent="0.2">
      <c r="A373" s="391" t="s">
        <v>680</v>
      </c>
      <c r="B373" s="465" t="s">
        <v>317</v>
      </c>
      <c r="C373" s="205"/>
      <c r="D373" s="206"/>
      <c r="E373" s="175"/>
      <c r="F373" s="422"/>
      <c r="G373" s="242"/>
    </row>
    <row r="374" spans="1:7" x14ac:dyDescent="0.2">
      <c r="A374" s="222"/>
      <c r="B374" s="217" t="s">
        <v>679</v>
      </c>
      <c r="C374" s="214"/>
      <c r="D374" s="407"/>
      <c r="E374" s="230"/>
      <c r="F374" s="422"/>
      <c r="G374" s="242"/>
    </row>
    <row r="375" spans="1:7" x14ac:dyDescent="0.2">
      <c r="A375" s="222"/>
      <c r="B375" s="217" t="s">
        <v>700</v>
      </c>
      <c r="C375" s="214">
        <f>5*13*12</f>
        <v>780</v>
      </c>
      <c r="D375" s="407" t="s">
        <v>279</v>
      </c>
      <c r="E375" s="215">
        <v>15000</v>
      </c>
      <c r="F375" s="422">
        <f>E375*C375</f>
        <v>11700000</v>
      </c>
      <c r="G375" s="242"/>
    </row>
    <row r="376" spans="1:7" ht="30" customHeight="1" x14ac:dyDescent="0.2">
      <c r="A376" s="222"/>
      <c r="B376" s="213" t="s">
        <v>2661</v>
      </c>
      <c r="C376" s="214"/>
      <c r="D376" s="407"/>
      <c r="E376" s="215"/>
      <c r="F376" s="422"/>
      <c r="G376" s="242"/>
    </row>
    <row r="377" spans="1:7" x14ac:dyDescent="0.2">
      <c r="A377" s="222"/>
      <c r="B377" s="217" t="s">
        <v>699</v>
      </c>
      <c r="C377" s="214">
        <v>7584</v>
      </c>
      <c r="D377" s="407" t="s">
        <v>507</v>
      </c>
      <c r="E377" s="215">
        <v>7000</v>
      </c>
      <c r="F377" s="422">
        <f>E377*C377</f>
        <v>53088000</v>
      </c>
      <c r="G377" s="242"/>
    </row>
    <row r="378" spans="1:7" x14ac:dyDescent="0.2">
      <c r="A378" s="222"/>
      <c r="B378" s="217" t="s">
        <v>698</v>
      </c>
      <c r="C378" s="214">
        <v>7584</v>
      </c>
      <c r="D378" s="407" t="s">
        <v>697</v>
      </c>
      <c r="E378" s="215">
        <v>4000</v>
      </c>
      <c r="F378" s="422">
        <f>E378*C378</f>
        <v>30336000</v>
      </c>
      <c r="G378" s="242"/>
    </row>
    <row r="379" spans="1:7" x14ac:dyDescent="0.2">
      <c r="A379" s="222"/>
      <c r="B379" s="217" t="s">
        <v>92</v>
      </c>
      <c r="C379" s="214">
        <v>7584</v>
      </c>
      <c r="D379" s="407" t="s">
        <v>161</v>
      </c>
      <c r="E379" s="215">
        <v>6000</v>
      </c>
      <c r="F379" s="422">
        <f>E379*C379</f>
        <v>45504000</v>
      </c>
      <c r="G379" s="242"/>
    </row>
    <row r="380" spans="1:7" x14ac:dyDescent="0.2">
      <c r="A380" s="222"/>
      <c r="B380" s="217" t="s">
        <v>696</v>
      </c>
      <c r="C380" s="214">
        <v>7584</v>
      </c>
      <c r="D380" s="407" t="s">
        <v>479</v>
      </c>
      <c r="E380" s="215">
        <v>10000</v>
      </c>
      <c r="F380" s="422">
        <f>E380*C380</f>
        <v>75840000</v>
      </c>
      <c r="G380" s="242"/>
    </row>
    <row r="381" spans="1:7" x14ac:dyDescent="0.2">
      <c r="A381" s="222"/>
      <c r="B381" s="217"/>
      <c r="C381" s="214"/>
      <c r="D381" s="407"/>
      <c r="E381" s="215"/>
      <c r="F381" s="422"/>
      <c r="G381" s="242"/>
    </row>
    <row r="382" spans="1:7" x14ac:dyDescent="0.2">
      <c r="A382" s="391" t="s">
        <v>695</v>
      </c>
      <c r="B382" s="217" t="s">
        <v>516</v>
      </c>
      <c r="C382" s="214"/>
      <c r="D382" s="407"/>
      <c r="E382" s="215"/>
      <c r="F382" s="422"/>
      <c r="G382" s="242"/>
    </row>
    <row r="383" spans="1:7" x14ac:dyDescent="0.2">
      <c r="A383" s="391"/>
      <c r="B383" s="217" t="s">
        <v>2944</v>
      </c>
      <c r="C383" s="214">
        <f>13*5</f>
        <v>65</v>
      </c>
      <c r="D383" s="407" t="s">
        <v>110</v>
      </c>
      <c r="E383" s="215">
        <v>20000</v>
      </c>
      <c r="F383" s="422">
        <f>E383*C383</f>
        <v>1300000</v>
      </c>
      <c r="G383" s="242"/>
    </row>
    <row r="384" spans="1:7" ht="35.25" customHeight="1" x14ac:dyDescent="0.2">
      <c r="A384" s="222"/>
      <c r="B384" s="213" t="s">
        <v>694</v>
      </c>
      <c r="C384" s="214">
        <v>39</v>
      </c>
      <c r="D384" s="407" t="s">
        <v>222</v>
      </c>
      <c r="E384" s="215">
        <v>50000</v>
      </c>
      <c r="F384" s="422">
        <f>E384*C384</f>
        <v>1950000</v>
      </c>
      <c r="G384" s="242"/>
    </row>
    <row r="385" spans="1:11" x14ac:dyDescent="0.2">
      <c r="A385" s="222"/>
      <c r="B385" s="213"/>
      <c r="C385" s="214"/>
      <c r="D385" s="407"/>
      <c r="E385" s="215"/>
      <c r="F385" s="422"/>
      <c r="G385" s="242"/>
    </row>
    <row r="386" spans="1:11" ht="36" customHeight="1" x14ac:dyDescent="0.2">
      <c r="A386" s="391" t="s">
        <v>678</v>
      </c>
      <c r="B386" s="213" t="s">
        <v>677</v>
      </c>
      <c r="C386" s="433"/>
      <c r="D386" s="466"/>
      <c r="E386" s="222"/>
      <c r="F386" s="422"/>
      <c r="G386" s="242"/>
    </row>
    <row r="387" spans="1:11" x14ac:dyDescent="0.2">
      <c r="A387" s="222"/>
      <c r="B387" s="217" t="s">
        <v>417</v>
      </c>
      <c r="C387" s="214">
        <v>13</v>
      </c>
      <c r="D387" s="407" t="s">
        <v>418</v>
      </c>
      <c r="E387" s="215">
        <v>90000</v>
      </c>
      <c r="F387" s="422">
        <f>E387*C387</f>
        <v>1170000</v>
      </c>
      <c r="G387" s="242"/>
    </row>
    <row r="388" spans="1:11" ht="36" customHeight="1" x14ac:dyDescent="0.2">
      <c r="A388" s="391" t="s">
        <v>693</v>
      </c>
      <c r="B388" s="213" t="s">
        <v>2941</v>
      </c>
      <c r="C388" s="433"/>
      <c r="D388" s="466"/>
      <c r="E388" s="222"/>
      <c r="F388" s="422"/>
      <c r="G388" s="242"/>
    </row>
    <row r="389" spans="1:11" ht="36" customHeight="1" x14ac:dyDescent="0.2">
      <c r="A389" s="391"/>
      <c r="B389" s="213" t="s">
        <v>2942</v>
      </c>
      <c r="C389" s="414">
        <f>10*13*12</f>
        <v>1560</v>
      </c>
      <c r="D389" s="466" t="s">
        <v>647</v>
      </c>
      <c r="E389" s="1657">
        <v>3000</v>
      </c>
      <c r="F389" s="422">
        <f>E389*C389</f>
        <v>4680000</v>
      </c>
      <c r="G389" s="242"/>
    </row>
    <row r="390" spans="1:11" x14ac:dyDescent="0.2">
      <c r="A390" s="222"/>
      <c r="B390" s="213" t="s">
        <v>2943</v>
      </c>
      <c r="C390" s="214">
        <f>1*13*12</f>
        <v>156</v>
      </c>
      <c r="D390" s="407" t="s">
        <v>121</v>
      </c>
      <c r="E390" s="215">
        <v>10000</v>
      </c>
      <c r="F390" s="422">
        <f>E390*C390</f>
        <v>1560000</v>
      </c>
      <c r="G390" s="242"/>
    </row>
    <row r="391" spans="1:11" x14ac:dyDescent="0.2">
      <c r="A391" s="222" t="s">
        <v>676</v>
      </c>
      <c r="B391" s="213" t="s">
        <v>304</v>
      </c>
      <c r="C391" s="214"/>
      <c r="D391" s="407"/>
      <c r="E391" s="215"/>
      <c r="F391" s="422"/>
      <c r="G391" s="242"/>
    </row>
    <row r="392" spans="1:11" ht="24" x14ac:dyDescent="0.2">
      <c r="A392" s="433" t="s">
        <v>691</v>
      </c>
      <c r="B392" s="213" t="s">
        <v>354</v>
      </c>
      <c r="C392" s="214"/>
      <c r="D392" s="407"/>
      <c r="E392" s="215"/>
      <c r="F392" s="422"/>
      <c r="G392" s="242"/>
    </row>
    <row r="393" spans="1:11" ht="36" customHeight="1" x14ac:dyDescent="0.2">
      <c r="A393" s="433"/>
      <c r="B393" s="213" t="s">
        <v>692</v>
      </c>
      <c r="C393" s="214">
        <f>5*13*12</f>
        <v>780</v>
      </c>
      <c r="D393" s="407" t="s">
        <v>407</v>
      </c>
      <c r="E393" s="215">
        <v>200000</v>
      </c>
      <c r="F393" s="467">
        <f>E393*C393</f>
        <v>156000000</v>
      </c>
      <c r="G393" s="242"/>
    </row>
    <row r="394" spans="1:11" x14ac:dyDescent="0.2">
      <c r="A394" s="433"/>
      <c r="B394" s="448" t="s">
        <v>26</v>
      </c>
      <c r="C394" s="433"/>
      <c r="D394" s="466"/>
      <c r="E394" s="222"/>
      <c r="F394" s="408">
        <f>SUM(F365:F393)</f>
        <v>387855500</v>
      </c>
      <c r="G394" s="242" t="s">
        <v>1409</v>
      </c>
      <c r="J394" s="457"/>
      <c r="K394" s="457">
        <f>F394</f>
        <v>387855500</v>
      </c>
    </row>
    <row r="396" spans="1:11" x14ac:dyDescent="0.2">
      <c r="A396" s="1762" t="s">
        <v>549</v>
      </c>
      <c r="B396" s="1762"/>
      <c r="C396" s="188" t="s">
        <v>27</v>
      </c>
      <c r="D396" s="1763" t="s">
        <v>1429</v>
      </c>
      <c r="E396" s="1763"/>
      <c r="F396" s="1763"/>
      <c r="G396" s="188"/>
    </row>
    <row r="397" spans="1:11" x14ac:dyDescent="0.2">
      <c r="A397" s="1762" t="s">
        <v>28</v>
      </c>
      <c r="B397" s="1762"/>
      <c r="C397" s="188"/>
      <c r="D397" s="1764" t="s">
        <v>2833</v>
      </c>
      <c r="E397" s="1764"/>
      <c r="F397" s="1764"/>
      <c r="G397" s="188"/>
    </row>
    <row r="398" spans="1:11" x14ac:dyDescent="0.2">
      <c r="A398" s="186"/>
      <c r="B398" s="187"/>
      <c r="C398" s="188"/>
      <c r="D398" s="189"/>
      <c r="E398" s="218"/>
      <c r="F398" s="218"/>
      <c r="G398" s="188"/>
    </row>
    <row r="399" spans="1:11" x14ac:dyDescent="0.2">
      <c r="A399" s="186"/>
      <c r="B399" s="187"/>
      <c r="C399" s="188"/>
      <c r="D399" s="189"/>
      <c r="E399" s="218"/>
      <c r="F399" s="218"/>
      <c r="G399" s="188"/>
    </row>
    <row r="400" spans="1:11" x14ac:dyDescent="0.2">
      <c r="A400" s="1762"/>
      <c r="B400" s="1762"/>
      <c r="C400" s="188"/>
      <c r="D400" s="189"/>
      <c r="E400" s="1762"/>
      <c r="F400" s="1762"/>
      <c r="G400" s="188"/>
    </row>
    <row r="401" spans="1:7" x14ac:dyDescent="0.2">
      <c r="A401" s="1762" t="s">
        <v>29</v>
      </c>
      <c r="B401" s="1762"/>
      <c r="C401" s="188"/>
      <c r="D401" s="1762" t="s">
        <v>2954</v>
      </c>
      <c r="E401" s="1762"/>
      <c r="F401" s="1762"/>
      <c r="G401" s="188"/>
    </row>
    <row r="402" spans="1:7" x14ac:dyDescent="0.2">
      <c r="A402" s="260"/>
      <c r="B402" s="260"/>
      <c r="C402" s="188"/>
      <c r="D402" s="260"/>
      <c r="E402" s="260"/>
      <c r="F402" s="260"/>
      <c r="G402" s="188"/>
    </row>
    <row r="403" spans="1:7" x14ac:dyDescent="0.2">
      <c r="A403" s="1765" t="s">
        <v>0</v>
      </c>
      <c r="B403" s="1765"/>
      <c r="C403" s="1765"/>
      <c r="D403" s="1765"/>
      <c r="E403" s="1765"/>
      <c r="F403" s="1765"/>
      <c r="G403" s="185"/>
    </row>
    <row r="404" spans="1:7" x14ac:dyDescent="0.2">
      <c r="A404" s="1765" t="s">
        <v>1</v>
      </c>
      <c r="B404" s="1765"/>
      <c r="C404" s="1765"/>
      <c r="D404" s="1765"/>
      <c r="E404" s="1765"/>
      <c r="F404" s="1765"/>
      <c r="G404" s="185"/>
    </row>
    <row r="405" spans="1:7" x14ac:dyDescent="0.2">
      <c r="A405" s="1765" t="s">
        <v>1769</v>
      </c>
      <c r="B405" s="1765"/>
      <c r="C405" s="1765"/>
      <c r="D405" s="1765"/>
      <c r="E405" s="1765"/>
      <c r="F405" s="1765"/>
      <c r="G405" s="185"/>
    </row>
    <row r="406" spans="1:7" x14ac:dyDescent="0.2">
      <c r="A406" s="185" t="s">
        <v>690</v>
      </c>
      <c r="B406" s="185" t="s">
        <v>689</v>
      </c>
      <c r="C406" s="185"/>
      <c r="D406" s="185"/>
      <c r="E406" s="227" t="s">
        <v>6</v>
      </c>
      <c r="F406" s="227"/>
      <c r="G406" s="185"/>
    </row>
    <row r="407" spans="1:7" x14ac:dyDescent="0.2">
      <c r="A407" s="385" t="s">
        <v>247</v>
      </c>
      <c r="B407" s="385" t="s">
        <v>688</v>
      </c>
      <c r="C407" s="385"/>
      <c r="D407" s="184"/>
      <c r="E407" s="193" t="s">
        <v>515</v>
      </c>
      <c r="F407" s="193" t="s">
        <v>461</v>
      </c>
      <c r="G407" s="185"/>
    </row>
    <row r="408" spans="1:7" x14ac:dyDescent="0.2">
      <c r="A408" s="385" t="s">
        <v>687</v>
      </c>
      <c r="B408" s="385" t="s">
        <v>709</v>
      </c>
      <c r="C408" s="385"/>
      <c r="D408" s="184"/>
      <c r="E408" s="468"/>
      <c r="F408" s="385"/>
      <c r="G408" s="185"/>
    </row>
    <row r="409" spans="1:7" x14ac:dyDescent="0.2">
      <c r="A409" s="185" t="s">
        <v>521</v>
      </c>
      <c r="B409" s="185" t="s">
        <v>546</v>
      </c>
      <c r="C409" s="185"/>
      <c r="D409" s="185"/>
      <c r="E409" s="185"/>
      <c r="F409" s="185"/>
      <c r="G409" s="185"/>
    </row>
    <row r="410" spans="1:7" x14ac:dyDescent="0.2">
      <c r="A410" s="1893" t="s">
        <v>503</v>
      </c>
      <c r="B410" s="1893"/>
      <c r="C410" s="185"/>
      <c r="D410" s="385"/>
      <c r="E410" s="431"/>
      <c r="F410" s="185"/>
      <c r="G410" s="185"/>
    </row>
    <row r="413" spans="1:7" ht="24" x14ac:dyDescent="0.2">
      <c r="A413" s="469" t="s">
        <v>547</v>
      </c>
      <c r="B413" s="469" t="s">
        <v>11</v>
      </c>
      <c r="C413" s="1954" t="s">
        <v>12</v>
      </c>
      <c r="D413" s="1955"/>
      <c r="E413" s="470" t="s">
        <v>13</v>
      </c>
      <c r="F413" s="469" t="s">
        <v>14</v>
      </c>
      <c r="G413" s="471" t="s">
        <v>266</v>
      </c>
    </row>
    <row r="414" spans="1:7" x14ac:dyDescent="0.2">
      <c r="A414" s="472">
        <v>1</v>
      </c>
      <c r="B414" s="472">
        <v>2</v>
      </c>
      <c r="C414" s="1943">
        <v>3</v>
      </c>
      <c r="D414" s="1944"/>
      <c r="E414" s="473">
        <v>4</v>
      </c>
      <c r="F414" s="472">
        <v>5</v>
      </c>
      <c r="G414" s="471">
        <v>6</v>
      </c>
    </row>
    <row r="415" spans="1:7" x14ac:dyDescent="0.2">
      <c r="A415" s="391" t="s">
        <v>685</v>
      </c>
      <c r="B415" s="463" t="s">
        <v>287</v>
      </c>
      <c r="C415" s="474"/>
      <c r="D415" s="475"/>
      <c r="E415" s="476"/>
      <c r="F415" s="477"/>
      <c r="G415" s="242"/>
    </row>
    <row r="416" spans="1:7" ht="19.5" customHeight="1" x14ac:dyDescent="0.2">
      <c r="A416" s="391" t="s">
        <v>684</v>
      </c>
      <c r="B416" s="463" t="s">
        <v>86</v>
      </c>
      <c r="C416" s="474"/>
      <c r="D416" s="475"/>
      <c r="E416" s="476"/>
      <c r="F416" s="477"/>
      <c r="G416" s="242"/>
    </row>
    <row r="417" spans="1:8" ht="32.25" customHeight="1" x14ac:dyDescent="0.2">
      <c r="A417" s="391" t="s">
        <v>682</v>
      </c>
      <c r="B417" s="463" t="s">
        <v>738</v>
      </c>
      <c r="C417" s="474"/>
      <c r="D417" s="475"/>
      <c r="E417" s="476"/>
      <c r="F417" s="477"/>
      <c r="G417" s="242"/>
    </row>
    <row r="418" spans="1:8" x14ac:dyDescent="0.2">
      <c r="A418" s="242"/>
      <c r="B418" s="217" t="s">
        <v>2779</v>
      </c>
      <c r="C418" s="214">
        <v>1</v>
      </c>
      <c r="D418" s="407" t="s">
        <v>89</v>
      </c>
      <c r="E418" s="215">
        <v>70000</v>
      </c>
      <c r="F418" s="477">
        <f>E418*C418</f>
        <v>70000</v>
      </c>
      <c r="G418" s="242"/>
    </row>
    <row r="419" spans="1:8" x14ac:dyDescent="0.2">
      <c r="A419" s="242"/>
      <c r="B419" s="217" t="s">
        <v>1260</v>
      </c>
      <c r="C419" s="214">
        <v>300</v>
      </c>
      <c r="D419" s="407" t="s">
        <v>276</v>
      </c>
      <c r="E419" s="215">
        <v>400</v>
      </c>
      <c r="F419" s="477">
        <f>E419*C419</f>
        <v>120000</v>
      </c>
      <c r="G419" s="242"/>
    </row>
    <row r="420" spans="1:8" x14ac:dyDescent="0.2">
      <c r="A420" s="242"/>
      <c r="B420" s="217"/>
      <c r="C420" s="214"/>
      <c r="D420" s="407"/>
      <c r="E420" s="215"/>
      <c r="F420" s="477"/>
      <c r="G420" s="242"/>
    </row>
    <row r="421" spans="1:8" ht="32.25" customHeight="1" x14ac:dyDescent="0.2">
      <c r="A421" s="391" t="s">
        <v>680</v>
      </c>
      <c r="B421" s="213" t="s">
        <v>317</v>
      </c>
      <c r="C421" s="214"/>
      <c r="D421" s="407"/>
      <c r="E421" s="215"/>
      <c r="F421" s="477"/>
      <c r="G421" s="242"/>
    </row>
    <row r="422" spans="1:8" ht="24" x14ac:dyDescent="0.2">
      <c r="A422" s="242"/>
      <c r="B422" s="213" t="s">
        <v>2761</v>
      </c>
      <c r="C422" s="214">
        <v>30</v>
      </c>
      <c r="D422" s="407" t="s">
        <v>507</v>
      </c>
      <c r="E422" s="215">
        <v>15000</v>
      </c>
      <c r="F422" s="477">
        <f>E422*C422</f>
        <v>450000</v>
      </c>
      <c r="G422" s="242"/>
      <c r="H422" s="444" t="s">
        <v>2752</v>
      </c>
    </row>
    <row r="423" spans="1:8" x14ac:dyDescent="0.2">
      <c r="A423" s="242"/>
      <c r="B423" s="217" t="s">
        <v>1438</v>
      </c>
      <c r="C423" s="214">
        <v>20</v>
      </c>
      <c r="D423" s="407" t="s">
        <v>1439</v>
      </c>
      <c r="E423" s="215">
        <v>25000</v>
      </c>
      <c r="F423" s="477">
        <f>C423*E423</f>
        <v>500000</v>
      </c>
      <c r="G423" s="242"/>
    </row>
    <row r="424" spans="1:8" x14ac:dyDescent="0.2">
      <c r="A424" s="242"/>
      <c r="B424" s="217" t="s">
        <v>1779</v>
      </c>
      <c r="C424" s="214">
        <v>20</v>
      </c>
      <c r="D424" s="407" t="s">
        <v>1694</v>
      </c>
      <c r="E424" s="215">
        <v>60000</v>
      </c>
      <c r="F424" s="477">
        <f>C424*E424</f>
        <v>1200000</v>
      </c>
      <c r="G424" s="242"/>
      <c r="H424" s="444" t="s">
        <v>2753</v>
      </c>
    </row>
    <row r="425" spans="1:8" x14ac:dyDescent="0.2">
      <c r="A425" s="242"/>
      <c r="B425" s="217"/>
      <c r="C425" s="214"/>
      <c r="D425" s="407"/>
      <c r="E425" s="215"/>
      <c r="F425" s="477"/>
      <c r="G425" s="242"/>
    </row>
    <row r="426" spans="1:8" x14ac:dyDescent="0.2">
      <c r="A426" s="242"/>
      <c r="B426" s="217"/>
      <c r="C426" s="214"/>
      <c r="D426" s="407"/>
      <c r="E426" s="215"/>
      <c r="F426" s="477"/>
      <c r="G426" s="242"/>
    </row>
    <row r="427" spans="1:8" ht="31.5" customHeight="1" x14ac:dyDescent="0.2">
      <c r="A427" s="391" t="s">
        <v>678</v>
      </c>
      <c r="B427" s="213" t="s">
        <v>337</v>
      </c>
      <c r="C427" s="214"/>
      <c r="D427" s="407"/>
      <c r="E427" s="215"/>
      <c r="F427" s="477"/>
      <c r="G427" s="242"/>
    </row>
    <row r="428" spans="1:8" x14ac:dyDescent="0.2">
      <c r="A428" s="242"/>
      <c r="B428" s="217" t="s">
        <v>338</v>
      </c>
      <c r="C428" s="214">
        <v>1</v>
      </c>
      <c r="D428" s="407" t="s">
        <v>95</v>
      </c>
      <c r="E428" s="215">
        <v>90000</v>
      </c>
      <c r="F428" s="477">
        <f>E428*C428</f>
        <v>90000</v>
      </c>
      <c r="G428" s="242"/>
    </row>
    <row r="429" spans="1:8" x14ac:dyDescent="0.2">
      <c r="A429" s="242"/>
      <c r="B429" s="217"/>
      <c r="C429" s="214"/>
      <c r="D429" s="407"/>
      <c r="E429" s="215"/>
      <c r="F429" s="477"/>
      <c r="G429" s="242"/>
    </row>
    <row r="430" spans="1:8" ht="32.25" customHeight="1" x14ac:dyDescent="0.2">
      <c r="A430" s="391" t="s">
        <v>676</v>
      </c>
      <c r="B430" s="463" t="s">
        <v>304</v>
      </c>
      <c r="C430" s="214"/>
      <c r="D430" s="407"/>
      <c r="E430" s="215"/>
      <c r="F430" s="477"/>
      <c r="G430" s="242"/>
      <c r="H430" s="444" t="s">
        <v>2751</v>
      </c>
    </row>
    <row r="431" spans="1:8" ht="36" customHeight="1" x14ac:dyDescent="0.2">
      <c r="A431" s="391" t="s">
        <v>675</v>
      </c>
      <c r="B431" s="213" t="s">
        <v>707</v>
      </c>
      <c r="C431" s="214"/>
      <c r="D431" s="407"/>
      <c r="E431" s="215"/>
      <c r="F431" s="477"/>
      <c r="G431" s="242"/>
    </row>
    <row r="432" spans="1:8" ht="24" x14ac:dyDescent="0.2">
      <c r="A432" s="242"/>
      <c r="B432" s="213" t="s">
        <v>706</v>
      </c>
      <c r="C432" s="214">
        <v>2</v>
      </c>
      <c r="D432" s="407" t="s">
        <v>279</v>
      </c>
      <c r="E432" s="215">
        <v>300000</v>
      </c>
      <c r="F432" s="477">
        <f>E432*C432</f>
        <v>600000</v>
      </c>
      <c r="G432" s="242"/>
    </row>
    <row r="433" spans="1:19" x14ac:dyDescent="0.2">
      <c r="A433" s="242"/>
      <c r="B433" s="217"/>
      <c r="C433" s="214"/>
      <c r="D433" s="407"/>
      <c r="E433" s="215"/>
      <c r="F433" s="477"/>
      <c r="G433" s="242"/>
    </row>
    <row r="434" spans="1:19" x14ac:dyDescent="0.2">
      <c r="A434" s="242"/>
      <c r="B434" s="1997" t="s">
        <v>26</v>
      </c>
      <c r="C434" s="1997"/>
      <c r="D434" s="1997"/>
      <c r="E434" s="1997"/>
      <c r="F434" s="477">
        <f>SUM(F416:F433)</f>
        <v>3030000</v>
      </c>
      <c r="G434" s="242" t="s">
        <v>1409</v>
      </c>
      <c r="K434" s="457">
        <f>F434</f>
        <v>3030000</v>
      </c>
      <c r="S434" s="457"/>
    </row>
    <row r="436" spans="1:19" x14ac:dyDescent="0.2">
      <c r="A436" s="1762" t="s">
        <v>549</v>
      </c>
      <c r="B436" s="1762"/>
      <c r="C436" s="188" t="s">
        <v>27</v>
      </c>
      <c r="D436" s="1763" t="s">
        <v>1429</v>
      </c>
      <c r="E436" s="1763"/>
      <c r="F436" s="1763"/>
      <c r="G436" s="188"/>
    </row>
    <row r="437" spans="1:19" x14ac:dyDescent="0.2">
      <c r="A437" s="1762" t="s">
        <v>28</v>
      </c>
      <c r="B437" s="1762"/>
      <c r="C437" s="188"/>
      <c r="D437" s="1764" t="s">
        <v>2833</v>
      </c>
      <c r="E437" s="1764"/>
      <c r="F437" s="1764"/>
      <c r="G437" s="188"/>
    </row>
    <row r="438" spans="1:19" x14ac:dyDescent="0.2">
      <c r="A438" s="186"/>
      <c r="B438" s="187"/>
      <c r="C438" s="188"/>
      <c r="D438" s="189"/>
      <c r="E438" s="218"/>
      <c r="F438" s="218"/>
      <c r="G438" s="188"/>
    </row>
    <row r="439" spans="1:19" x14ac:dyDescent="0.2">
      <c r="A439" s="186"/>
      <c r="B439" s="187"/>
      <c r="C439" s="188"/>
      <c r="D439" s="189"/>
      <c r="E439" s="218"/>
      <c r="F439" s="218"/>
      <c r="G439" s="188"/>
    </row>
    <row r="440" spans="1:19" x14ac:dyDescent="0.2">
      <c r="A440" s="1762"/>
      <c r="B440" s="1762"/>
      <c r="C440" s="188"/>
      <c r="D440" s="189"/>
      <c r="E440" s="1762"/>
      <c r="F440" s="1762"/>
      <c r="G440" s="188"/>
    </row>
    <row r="441" spans="1:19" x14ac:dyDescent="0.2">
      <c r="A441" s="1762" t="s">
        <v>29</v>
      </c>
      <c r="B441" s="1762"/>
      <c r="C441" s="188"/>
      <c r="D441" s="1762" t="s">
        <v>2954</v>
      </c>
      <c r="E441" s="1762"/>
      <c r="F441" s="1762"/>
      <c r="G441" s="188"/>
    </row>
    <row r="442" spans="1:19" x14ac:dyDescent="0.2">
      <c r="A442" s="260"/>
      <c r="B442" s="260"/>
      <c r="C442" s="188"/>
      <c r="D442" s="260"/>
      <c r="E442" s="260"/>
      <c r="F442" s="260"/>
      <c r="G442" s="188"/>
    </row>
    <row r="443" spans="1:19" x14ac:dyDescent="0.2">
      <c r="A443" s="1765" t="s">
        <v>0</v>
      </c>
      <c r="B443" s="1765"/>
      <c r="C443" s="1765"/>
      <c r="D443" s="1765"/>
      <c r="E443" s="1765"/>
      <c r="F443" s="1765"/>
      <c r="G443" s="1765"/>
    </row>
    <row r="444" spans="1:19" x14ac:dyDescent="0.2">
      <c r="A444" s="1765" t="s">
        <v>1</v>
      </c>
      <c r="B444" s="1765"/>
      <c r="C444" s="1765"/>
      <c r="D444" s="1765"/>
      <c r="E444" s="1765"/>
      <c r="F444" s="1765"/>
      <c r="G444" s="1765"/>
    </row>
    <row r="445" spans="1:19" x14ac:dyDescent="0.2">
      <c r="A445" s="1765" t="s">
        <v>1769</v>
      </c>
      <c r="B445" s="1765"/>
      <c r="C445" s="1765"/>
      <c r="D445" s="1765"/>
      <c r="E445" s="1765"/>
      <c r="F445" s="1765"/>
      <c r="G445" s="1765"/>
    </row>
    <row r="446" spans="1:19" x14ac:dyDescent="0.2">
      <c r="A446" s="260"/>
      <c r="B446" s="260"/>
      <c r="C446" s="185"/>
      <c r="D446" s="185"/>
      <c r="E446" s="185"/>
      <c r="F446" s="185"/>
    </row>
    <row r="447" spans="1:19" x14ac:dyDescent="0.2">
      <c r="A447" s="185" t="s">
        <v>246</v>
      </c>
      <c r="B447" s="185" t="s">
        <v>751</v>
      </c>
      <c r="C447" s="185"/>
      <c r="D447" s="185"/>
      <c r="E447" s="185"/>
      <c r="F447" s="190" t="s">
        <v>6</v>
      </c>
    </row>
    <row r="448" spans="1:19" ht="24" x14ac:dyDescent="0.2">
      <c r="A448" s="185" t="s">
        <v>750</v>
      </c>
      <c r="B448" s="385" t="s">
        <v>688</v>
      </c>
      <c r="C448" s="185"/>
      <c r="D448" s="185"/>
      <c r="E448" s="185"/>
      <c r="F448" s="478" t="s">
        <v>515</v>
      </c>
    </row>
    <row r="449" spans="1:11" ht="48" x14ac:dyDescent="0.2">
      <c r="A449" s="185" t="s">
        <v>749</v>
      </c>
      <c r="B449" s="386" t="s">
        <v>748</v>
      </c>
      <c r="C449" s="185"/>
      <c r="D449" s="185"/>
      <c r="E449" s="185"/>
      <c r="F449" s="185"/>
    </row>
    <row r="450" spans="1:11" x14ac:dyDescent="0.2">
      <c r="A450" s="185" t="s">
        <v>521</v>
      </c>
      <c r="B450" s="185" t="s">
        <v>61</v>
      </c>
      <c r="C450" s="185"/>
      <c r="D450" s="185"/>
      <c r="E450" s="185"/>
      <c r="F450" s="185"/>
    </row>
    <row r="451" spans="1:11" x14ac:dyDescent="0.2">
      <c r="A451" s="188" t="s">
        <v>747</v>
      </c>
      <c r="B451" s="188"/>
      <c r="C451" s="185"/>
      <c r="D451" s="185"/>
      <c r="E451" s="185"/>
      <c r="F451" s="185"/>
    </row>
    <row r="452" spans="1:11" ht="24" x14ac:dyDescent="0.2">
      <c r="A452" s="469" t="s">
        <v>547</v>
      </c>
      <c r="B452" s="469" t="s">
        <v>11</v>
      </c>
      <c r="C452" s="1954" t="s">
        <v>12</v>
      </c>
      <c r="D452" s="1955"/>
      <c r="E452" s="470" t="s">
        <v>13</v>
      </c>
      <c r="F452" s="479" t="s">
        <v>14</v>
      </c>
      <c r="G452" s="471" t="s">
        <v>266</v>
      </c>
    </row>
    <row r="453" spans="1:11" x14ac:dyDescent="0.2">
      <c r="A453" s="472">
        <v>1</v>
      </c>
      <c r="B453" s="472">
        <v>2</v>
      </c>
      <c r="C453" s="1943">
        <v>3</v>
      </c>
      <c r="D453" s="1944"/>
      <c r="E453" s="473">
        <v>4</v>
      </c>
      <c r="F453" s="392">
        <v>5</v>
      </c>
      <c r="G453" s="471">
        <v>6</v>
      </c>
    </row>
    <row r="454" spans="1:11" x14ac:dyDescent="0.2">
      <c r="A454" s="472"/>
      <c r="B454" s="472" t="s">
        <v>263</v>
      </c>
      <c r="C454" s="392"/>
      <c r="D454" s="480"/>
      <c r="E454" s="481"/>
      <c r="F454" s="482"/>
      <c r="G454" s="471"/>
    </row>
    <row r="455" spans="1:11" x14ac:dyDescent="0.2">
      <c r="A455" s="391" t="s">
        <v>720</v>
      </c>
      <c r="B455" s="391" t="s">
        <v>746</v>
      </c>
      <c r="C455" s="419"/>
      <c r="D455" s="420"/>
      <c r="E455" s="483"/>
      <c r="F455" s="484"/>
      <c r="G455" s="242"/>
    </row>
    <row r="456" spans="1:11" x14ac:dyDescent="0.2">
      <c r="A456" s="391" t="s">
        <v>721</v>
      </c>
      <c r="B456" s="391" t="s">
        <v>745</v>
      </c>
      <c r="C456" s="485"/>
      <c r="D456" s="486"/>
      <c r="E456" s="483"/>
      <c r="F456" s="484"/>
      <c r="G456" s="242"/>
    </row>
    <row r="457" spans="1:11" ht="28.5" customHeight="1" x14ac:dyDescent="0.2">
      <c r="A457" s="391" t="s">
        <v>739</v>
      </c>
      <c r="B457" s="430" t="s">
        <v>1440</v>
      </c>
      <c r="C457" s="485"/>
      <c r="D457" s="486"/>
      <c r="E457" s="483"/>
      <c r="F457" s="484"/>
      <c r="G457" s="242"/>
    </row>
    <row r="458" spans="1:11" x14ac:dyDescent="0.2">
      <c r="A458" s="256"/>
      <c r="B458" s="463" t="s">
        <v>2779</v>
      </c>
      <c r="C458" s="214">
        <v>2</v>
      </c>
      <c r="D458" s="244" t="s">
        <v>89</v>
      </c>
      <c r="E458" s="215">
        <v>70000</v>
      </c>
      <c r="F458" s="215">
        <f>C458*E458</f>
        <v>140000</v>
      </c>
      <c r="G458" s="242" t="s">
        <v>1409</v>
      </c>
      <c r="J458" s="1221"/>
      <c r="K458" s="1221">
        <f>F458</f>
        <v>140000</v>
      </c>
    </row>
    <row r="459" spans="1:11" x14ac:dyDescent="0.2">
      <c r="A459" s="256"/>
      <c r="B459" s="242" t="s">
        <v>2802</v>
      </c>
      <c r="C459" s="214">
        <f>5*13</f>
        <v>65</v>
      </c>
      <c r="D459" s="244" t="s">
        <v>110</v>
      </c>
      <c r="E459" s="215">
        <v>3500</v>
      </c>
      <c r="F459" s="215">
        <f>C459*E459</f>
        <v>227500</v>
      </c>
      <c r="G459" s="242" t="s">
        <v>1409</v>
      </c>
      <c r="J459" s="1221"/>
      <c r="K459" s="1221">
        <f t="shared" ref="K459:K497" si="16">F459</f>
        <v>227500</v>
      </c>
    </row>
    <row r="460" spans="1:11" x14ac:dyDescent="0.2">
      <c r="A460" s="256"/>
      <c r="B460" s="242" t="s">
        <v>1776</v>
      </c>
      <c r="C460" s="214">
        <v>65</v>
      </c>
      <c r="D460" s="244" t="s">
        <v>110</v>
      </c>
      <c r="E460" s="215">
        <v>6000</v>
      </c>
      <c r="F460" s="215">
        <f>C460*E460</f>
        <v>390000</v>
      </c>
      <c r="G460" s="242" t="s">
        <v>1409</v>
      </c>
      <c r="J460" s="1221"/>
      <c r="K460" s="1221">
        <f t="shared" si="16"/>
        <v>390000</v>
      </c>
    </row>
    <row r="461" spans="1:11" x14ac:dyDescent="0.2">
      <c r="A461" s="256"/>
      <c r="B461" s="217" t="s">
        <v>1786</v>
      </c>
      <c r="C461" s="214">
        <v>200</v>
      </c>
      <c r="D461" s="244" t="s">
        <v>276</v>
      </c>
      <c r="E461" s="215">
        <v>400</v>
      </c>
      <c r="F461" s="215">
        <f>C461*E461</f>
        <v>80000</v>
      </c>
      <c r="G461" s="242" t="s">
        <v>1409</v>
      </c>
      <c r="J461" s="1221"/>
      <c r="K461" s="1221">
        <f t="shared" si="16"/>
        <v>80000</v>
      </c>
    </row>
    <row r="462" spans="1:11" x14ac:dyDescent="0.2">
      <c r="A462" s="484"/>
      <c r="B462" s="484"/>
      <c r="C462" s="485"/>
      <c r="D462" s="486"/>
      <c r="E462" s="483"/>
      <c r="F462" s="484"/>
      <c r="G462" s="242"/>
      <c r="K462" s="1221"/>
    </row>
    <row r="463" spans="1:11" ht="24" customHeight="1" x14ac:dyDescent="0.2">
      <c r="A463" s="257" t="s">
        <v>722</v>
      </c>
      <c r="B463" s="213" t="s">
        <v>317</v>
      </c>
      <c r="C463" s="214"/>
      <c r="D463" s="244"/>
      <c r="E463" s="215"/>
      <c r="F463" s="215"/>
      <c r="G463" s="242"/>
      <c r="K463" s="1221"/>
    </row>
    <row r="464" spans="1:11" ht="33" customHeight="1" x14ac:dyDescent="0.2">
      <c r="A464" s="484"/>
      <c r="B464" s="213" t="s">
        <v>2937</v>
      </c>
      <c r="C464" s="214">
        <f>5*12*12</f>
        <v>720</v>
      </c>
      <c r="D464" s="244" t="s">
        <v>279</v>
      </c>
      <c r="E464" s="215">
        <v>15000</v>
      </c>
      <c r="F464" s="215">
        <f>C464*E464</f>
        <v>10800000</v>
      </c>
      <c r="G464" s="242" t="s">
        <v>1409</v>
      </c>
      <c r="J464" s="1221"/>
      <c r="K464" s="1221">
        <f t="shared" si="16"/>
        <v>10800000</v>
      </c>
    </row>
    <row r="465" spans="1:11" x14ac:dyDescent="0.2">
      <c r="A465" s="484"/>
      <c r="B465" s="484"/>
      <c r="C465" s="485"/>
      <c r="D465" s="486"/>
      <c r="E465" s="483"/>
      <c r="F465" s="484"/>
      <c r="G465" s="242"/>
      <c r="J465" s="1221"/>
      <c r="K465" s="1221"/>
    </row>
    <row r="466" spans="1:11" x14ac:dyDescent="0.2">
      <c r="A466" s="484"/>
      <c r="B466" s="217" t="s">
        <v>744</v>
      </c>
      <c r="C466" s="214"/>
      <c r="D466" s="244"/>
      <c r="E466" s="215"/>
      <c r="F466" s="215"/>
      <c r="G466" s="242"/>
      <c r="J466" s="1221"/>
      <c r="K466" s="1221"/>
    </row>
    <row r="467" spans="1:11" ht="27.75" customHeight="1" x14ac:dyDescent="0.2">
      <c r="A467" s="484"/>
      <c r="B467" s="213" t="s">
        <v>2891</v>
      </c>
      <c r="C467" s="214">
        <f>13*30*12</f>
        <v>4680</v>
      </c>
      <c r="D467" s="244" t="s">
        <v>507</v>
      </c>
      <c r="E467" s="215">
        <v>15000</v>
      </c>
      <c r="F467" s="215">
        <f>C467*E467</f>
        <v>70200000</v>
      </c>
      <c r="G467" s="242" t="s">
        <v>1409</v>
      </c>
      <c r="J467" s="1221"/>
      <c r="K467" s="1221">
        <f t="shared" si="16"/>
        <v>70200000</v>
      </c>
    </row>
    <row r="468" spans="1:11" x14ac:dyDescent="0.2">
      <c r="A468" s="484"/>
      <c r="B468" s="217" t="s">
        <v>2892</v>
      </c>
      <c r="C468" s="214">
        <f>13*30*12</f>
        <v>4680</v>
      </c>
      <c r="D468" s="244" t="s">
        <v>697</v>
      </c>
      <c r="E468" s="215">
        <v>3000</v>
      </c>
      <c r="F468" s="215">
        <f>C468*E468</f>
        <v>14040000</v>
      </c>
      <c r="G468" s="242" t="s">
        <v>1409</v>
      </c>
      <c r="J468" s="1221"/>
      <c r="K468" s="1221">
        <f t="shared" si="16"/>
        <v>14040000</v>
      </c>
    </row>
    <row r="469" spans="1:11" x14ac:dyDescent="0.2">
      <c r="A469" s="484"/>
      <c r="B469" s="258" t="s">
        <v>2893</v>
      </c>
      <c r="C469" s="208">
        <f>13*30</f>
        <v>390</v>
      </c>
      <c r="D469" s="404" t="s">
        <v>507</v>
      </c>
      <c r="E469" s="487">
        <v>10000</v>
      </c>
      <c r="F469" s="487">
        <f>E469*C469</f>
        <v>3900000</v>
      </c>
      <c r="G469" s="242" t="s">
        <v>1409</v>
      </c>
      <c r="J469" s="1221"/>
      <c r="K469" s="1221">
        <f t="shared" si="16"/>
        <v>3900000</v>
      </c>
    </row>
    <row r="470" spans="1:11" x14ac:dyDescent="0.2">
      <c r="A470" s="257" t="s">
        <v>723</v>
      </c>
      <c r="B470" s="258" t="s">
        <v>2894</v>
      </c>
      <c r="C470" s="208"/>
      <c r="D470" s="404"/>
      <c r="E470" s="487"/>
      <c r="F470" s="487"/>
      <c r="G470" s="242"/>
      <c r="J470" s="1221"/>
      <c r="K470" s="1221"/>
    </row>
    <row r="471" spans="1:11" x14ac:dyDescent="0.2">
      <c r="A471" s="257"/>
      <c r="B471" s="258" t="s">
        <v>2901</v>
      </c>
      <c r="C471" s="208">
        <v>2</v>
      </c>
      <c r="D471" s="404" t="s">
        <v>115</v>
      </c>
      <c r="E471" s="487">
        <v>2000000</v>
      </c>
      <c r="F471" s="487">
        <f>E471*C471</f>
        <v>4000000</v>
      </c>
      <c r="G471" s="242" t="s">
        <v>1409</v>
      </c>
      <c r="J471" s="1221"/>
      <c r="K471" s="1221">
        <f t="shared" si="16"/>
        <v>4000000</v>
      </c>
    </row>
    <row r="472" spans="1:11" x14ac:dyDescent="0.2">
      <c r="A472" s="484"/>
      <c r="B472" s="258" t="s">
        <v>2887</v>
      </c>
      <c r="C472" s="208">
        <v>7</v>
      </c>
      <c r="D472" s="404" t="s">
        <v>115</v>
      </c>
      <c r="E472" s="487">
        <v>600000</v>
      </c>
      <c r="F472" s="487">
        <f>E472*C472</f>
        <v>4200000</v>
      </c>
      <c r="G472" s="242" t="s">
        <v>1409</v>
      </c>
      <c r="J472" s="1221"/>
      <c r="K472" s="1221">
        <f t="shared" si="16"/>
        <v>4200000</v>
      </c>
    </row>
    <row r="473" spans="1:11" x14ac:dyDescent="0.2">
      <c r="A473" s="484"/>
      <c r="B473" s="258" t="s">
        <v>2895</v>
      </c>
      <c r="C473" s="208">
        <v>13</v>
      </c>
      <c r="D473" s="404" t="s">
        <v>115</v>
      </c>
      <c r="E473" s="487">
        <v>600000</v>
      </c>
      <c r="F473" s="487">
        <f t="shared" ref="F473:F478" si="17">E473*C473</f>
        <v>7800000</v>
      </c>
      <c r="G473" s="242" t="s">
        <v>1409</v>
      </c>
      <c r="J473" s="1221"/>
      <c r="K473" s="1221">
        <f t="shared" si="16"/>
        <v>7800000</v>
      </c>
    </row>
    <row r="474" spans="1:11" x14ac:dyDescent="0.2">
      <c r="A474" s="484"/>
      <c r="B474" s="258" t="s">
        <v>2896</v>
      </c>
      <c r="C474" s="208">
        <v>13</v>
      </c>
      <c r="D474" s="404" t="s">
        <v>115</v>
      </c>
      <c r="E474" s="487">
        <v>105000</v>
      </c>
      <c r="F474" s="487">
        <f t="shared" si="17"/>
        <v>1365000</v>
      </c>
      <c r="G474" s="242" t="s">
        <v>1409</v>
      </c>
      <c r="J474" s="1221"/>
      <c r="K474" s="1221">
        <f t="shared" si="16"/>
        <v>1365000</v>
      </c>
    </row>
    <row r="475" spans="1:11" x14ac:dyDescent="0.2">
      <c r="A475" s="484"/>
      <c r="B475" s="258" t="s">
        <v>2897</v>
      </c>
      <c r="C475" s="208">
        <v>1</v>
      </c>
      <c r="D475" s="404" t="s">
        <v>115</v>
      </c>
      <c r="E475" s="487">
        <v>2000000</v>
      </c>
      <c r="F475" s="487">
        <f t="shared" si="17"/>
        <v>2000000</v>
      </c>
      <c r="G475" s="242" t="s">
        <v>1409</v>
      </c>
      <c r="J475" s="1221"/>
      <c r="K475" s="1221">
        <f t="shared" si="16"/>
        <v>2000000</v>
      </c>
    </row>
    <row r="476" spans="1:11" x14ac:dyDescent="0.2">
      <c r="A476" s="484"/>
      <c r="B476" s="258" t="s">
        <v>2899</v>
      </c>
      <c r="C476" s="208">
        <v>100</v>
      </c>
      <c r="D476" s="404" t="s">
        <v>322</v>
      </c>
      <c r="E476" s="487">
        <v>200000</v>
      </c>
      <c r="F476" s="487">
        <f t="shared" si="17"/>
        <v>20000000</v>
      </c>
      <c r="G476" s="242" t="s">
        <v>1409</v>
      </c>
      <c r="J476" s="1221"/>
      <c r="K476" s="1221">
        <f t="shared" si="16"/>
        <v>20000000</v>
      </c>
    </row>
    <row r="477" spans="1:11" x14ac:dyDescent="0.2">
      <c r="A477" s="484"/>
      <c r="B477" s="258" t="s">
        <v>2900</v>
      </c>
      <c r="C477" s="208">
        <v>100</v>
      </c>
      <c r="D477" s="404" t="s">
        <v>322</v>
      </c>
      <c r="E477" s="487">
        <v>350000</v>
      </c>
      <c r="F477" s="487">
        <f t="shared" si="17"/>
        <v>35000000</v>
      </c>
      <c r="G477" s="242" t="s">
        <v>1409</v>
      </c>
      <c r="J477" s="1221"/>
      <c r="K477" s="1221">
        <f t="shared" si="16"/>
        <v>35000000</v>
      </c>
    </row>
    <row r="478" spans="1:11" x14ac:dyDescent="0.2">
      <c r="A478" s="400"/>
      <c r="B478" s="400" t="s">
        <v>2898</v>
      </c>
      <c r="C478" s="208">
        <v>100</v>
      </c>
      <c r="D478" s="404" t="s">
        <v>322</v>
      </c>
      <c r="E478" s="1556">
        <v>200000</v>
      </c>
      <c r="F478" s="487">
        <f t="shared" si="17"/>
        <v>20000000</v>
      </c>
      <c r="G478" s="242" t="s">
        <v>1409</v>
      </c>
      <c r="J478" s="1221"/>
      <c r="K478" s="1221">
        <f t="shared" si="16"/>
        <v>20000000</v>
      </c>
    </row>
    <row r="479" spans="1:11" ht="24" x14ac:dyDescent="0.2">
      <c r="A479" s="400" t="s">
        <v>724</v>
      </c>
      <c r="B479" s="213" t="s">
        <v>743</v>
      </c>
      <c r="C479" s="485"/>
      <c r="D479" s="486"/>
      <c r="E479" s="483"/>
      <c r="F479" s="488"/>
      <c r="G479" s="242"/>
      <c r="J479" s="1221"/>
      <c r="K479" s="1221"/>
    </row>
    <row r="480" spans="1:11" x14ac:dyDescent="0.2">
      <c r="A480" s="400"/>
      <c r="B480" s="217" t="s">
        <v>417</v>
      </c>
      <c r="C480" s="214">
        <v>13</v>
      </c>
      <c r="D480" s="244" t="s">
        <v>110</v>
      </c>
      <c r="E480" s="215">
        <v>90000</v>
      </c>
      <c r="F480" s="215">
        <f>C480*E480</f>
        <v>1170000</v>
      </c>
      <c r="G480" s="242" t="s">
        <v>1409</v>
      </c>
      <c r="J480" s="1221"/>
      <c r="K480" s="1221">
        <f t="shared" si="16"/>
        <v>1170000</v>
      </c>
    </row>
    <row r="481" spans="1:11" x14ac:dyDescent="0.2">
      <c r="A481" s="400"/>
      <c r="B481" s="484"/>
      <c r="C481" s="485"/>
      <c r="D481" s="486"/>
      <c r="E481" s="483"/>
      <c r="F481" s="484"/>
      <c r="G481" s="242"/>
      <c r="J481" s="1221"/>
      <c r="K481" s="1221"/>
    </row>
    <row r="482" spans="1:11" x14ac:dyDescent="0.2">
      <c r="A482" s="400" t="s">
        <v>727</v>
      </c>
      <c r="B482" s="400" t="s">
        <v>742</v>
      </c>
      <c r="C482" s="485"/>
      <c r="D482" s="486"/>
      <c r="E482" s="483"/>
      <c r="F482" s="484"/>
      <c r="G482" s="242"/>
      <c r="J482" s="1221"/>
      <c r="K482" s="1221"/>
    </row>
    <row r="483" spans="1:11" x14ac:dyDescent="0.2">
      <c r="A483" s="400" t="s">
        <v>1787</v>
      </c>
      <c r="B483" s="217" t="s">
        <v>354</v>
      </c>
      <c r="C483" s="208"/>
      <c r="D483" s="404"/>
      <c r="E483" s="233"/>
      <c r="F483" s="233"/>
      <c r="G483" s="242"/>
      <c r="J483" s="1221"/>
      <c r="K483" s="1221"/>
    </row>
    <row r="484" spans="1:11" x14ac:dyDescent="0.2">
      <c r="A484" s="484"/>
      <c r="B484" s="217" t="s">
        <v>2938</v>
      </c>
      <c r="C484" s="214">
        <f>5*12*12</f>
        <v>720</v>
      </c>
      <c r="D484" s="244" t="s">
        <v>279</v>
      </c>
      <c r="E484" s="215">
        <v>200000</v>
      </c>
      <c r="F484" s="215">
        <f>C484*E484</f>
        <v>144000000</v>
      </c>
      <c r="G484" s="242" t="s">
        <v>1409</v>
      </c>
      <c r="J484" s="1221"/>
      <c r="K484" s="1221">
        <f t="shared" si="16"/>
        <v>144000000</v>
      </c>
    </row>
    <row r="485" spans="1:11" x14ac:dyDescent="0.2">
      <c r="A485" s="484"/>
      <c r="B485" s="258" t="s">
        <v>1665</v>
      </c>
      <c r="C485" s="214"/>
      <c r="D485" s="244"/>
      <c r="E485" s="215"/>
      <c r="F485" s="215"/>
      <c r="G485" s="242"/>
      <c r="J485" s="1221"/>
      <c r="K485" s="1221"/>
    </row>
    <row r="486" spans="1:11" x14ac:dyDescent="0.2">
      <c r="A486" s="484"/>
      <c r="B486" s="258"/>
      <c r="C486" s="214"/>
      <c r="D486" s="244"/>
      <c r="E486" s="215"/>
      <c r="F486" s="215"/>
      <c r="G486" s="242"/>
      <c r="J486" s="1221"/>
      <c r="K486" s="1221"/>
    </row>
    <row r="487" spans="1:11" ht="24" x14ac:dyDescent="0.2">
      <c r="A487" s="391" t="s">
        <v>739</v>
      </c>
      <c r="B487" s="430" t="s">
        <v>1440</v>
      </c>
      <c r="C487" s="214"/>
      <c r="D487" s="244"/>
      <c r="E487" s="215"/>
      <c r="F487" s="215"/>
      <c r="G487" s="242"/>
      <c r="J487" s="1221"/>
      <c r="K487" s="1221"/>
    </row>
    <row r="488" spans="1:11" x14ac:dyDescent="0.2">
      <c r="A488" s="484"/>
      <c r="B488" s="242" t="s">
        <v>2802</v>
      </c>
      <c r="C488" s="214">
        <f>5*13</f>
        <v>65</v>
      </c>
      <c r="D488" s="244" t="s">
        <v>110</v>
      </c>
      <c r="E488" s="215">
        <v>3600</v>
      </c>
      <c r="F488" s="215">
        <f>C488*E488</f>
        <v>234000</v>
      </c>
      <c r="G488" s="242" t="s">
        <v>1409</v>
      </c>
      <c r="J488" s="1221"/>
      <c r="K488" s="1221">
        <f t="shared" si="16"/>
        <v>234000</v>
      </c>
    </row>
    <row r="489" spans="1:11" x14ac:dyDescent="0.2">
      <c r="A489" s="484"/>
      <c r="B489" s="242" t="s">
        <v>1776</v>
      </c>
      <c r="C489" s="214">
        <v>65</v>
      </c>
      <c r="D489" s="244" t="s">
        <v>110</v>
      </c>
      <c r="E489" s="215">
        <v>6000</v>
      </c>
      <c r="F489" s="215">
        <f>C489*E489</f>
        <v>390000</v>
      </c>
      <c r="G489" s="242" t="s">
        <v>1409</v>
      </c>
      <c r="J489" s="1221"/>
      <c r="K489" s="1221">
        <f t="shared" si="16"/>
        <v>390000</v>
      </c>
    </row>
    <row r="490" spans="1:11" ht="24" x14ac:dyDescent="0.2">
      <c r="A490" s="257" t="s">
        <v>722</v>
      </c>
      <c r="B490" s="213" t="s">
        <v>317</v>
      </c>
      <c r="C490" s="214"/>
      <c r="D490" s="244"/>
      <c r="E490" s="215"/>
      <c r="F490" s="215"/>
      <c r="G490" s="242"/>
      <c r="J490" s="1221"/>
      <c r="K490" s="1221"/>
    </row>
    <row r="491" spans="1:11" ht="24" x14ac:dyDescent="0.2">
      <c r="A491" s="484"/>
      <c r="B491" s="213" t="s">
        <v>2939</v>
      </c>
      <c r="C491" s="214">
        <v>69</v>
      </c>
      <c r="D491" s="244" t="s">
        <v>279</v>
      </c>
      <c r="E491" s="215">
        <v>15000</v>
      </c>
      <c r="F491" s="215">
        <f>E491*C491</f>
        <v>1035000</v>
      </c>
      <c r="G491" s="242" t="s">
        <v>1409</v>
      </c>
      <c r="J491" s="1221"/>
      <c r="K491" s="1221">
        <f t="shared" si="16"/>
        <v>1035000</v>
      </c>
    </row>
    <row r="492" spans="1:11" ht="24" x14ac:dyDescent="0.2">
      <c r="A492" s="400" t="s">
        <v>724</v>
      </c>
      <c r="B492" s="213" t="s">
        <v>743</v>
      </c>
      <c r="C492" s="485"/>
      <c r="D492" s="486"/>
      <c r="E492" s="483"/>
      <c r="F492" s="488"/>
      <c r="G492" s="242"/>
      <c r="J492" s="1221"/>
      <c r="K492" s="1221"/>
    </row>
    <row r="493" spans="1:11" x14ac:dyDescent="0.2">
      <c r="A493" s="400"/>
      <c r="B493" s="217" t="s">
        <v>417</v>
      </c>
      <c r="C493" s="214">
        <v>13</v>
      </c>
      <c r="D493" s="244" t="s">
        <v>110</v>
      </c>
      <c r="E493" s="215">
        <v>90000</v>
      </c>
      <c r="F493" s="215">
        <f>C493*E493</f>
        <v>1170000</v>
      </c>
      <c r="G493" s="242" t="s">
        <v>1409</v>
      </c>
      <c r="J493" s="1221"/>
      <c r="K493" s="1221">
        <f t="shared" si="16"/>
        <v>1170000</v>
      </c>
    </row>
    <row r="494" spans="1:11" x14ac:dyDescent="0.2">
      <c r="A494" s="484"/>
      <c r="B494" s="258"/>
      <c r="C494" s="214"/>
      <c r="D494" s="244"/>
      <c r="E494" s="215"/>
      <c r="F494" s="215"/>
      <c r="G494" s="242"/>
      <c r="J494" s="1221"/>
      <c r="K494" s="1221"/>
    </row>
    <row r="495" spans="1:11" x14ac:dyDescent="0.2">
      <c r="A495" s="400" t="s">
        <v>727</v>
      </c>
      <c r="B495" s="400" t="s">
        <v>742</v>
      </c>
      <c r="C495" s="485"/>
      <c r="D495" s="486"/>
      <c r="E495" s="483"/>
      <c r="F495" s="484"/>
      <c r="G495" s="242"/>
      <c r="J495" s="1221"/>
      <c r="K495" s="1221"/>
    </row>
    <row r="496" spans="1:11" x14ac:dyDescent="0.2">
      <c r="A496" s="400" t="s">
        <v>728</v>
      </c>
      <c r="B496" s="217" t="s">
        <v>755</v>
      </c>
      <c r="C496" s="208"/>
      <c r="D496" s="404"/>
      <c r="E496" s="233"/>
      <c r="F496" s="233"/>
      <c r="G496" s="242"/>
      <c r="J496" s="1221"/>
      <c r="K496" s="1221"/>
    </row>
    <row r="497" spans="1:21" x14ac:dyDescent="0.2">
      <c r="A497" s="484"/>
      <c r="B497" s="258" t="s">
        <v>755</v>
      </c>
      <c r="C497" s="214">
        <v>2</v>
      </c>
      <c r="D497" s="244" t="s">
        <v>279</v>
      </c>
      <c r="E497" s="215">
        <v>300000</v>
      </c>
      <c r="F497" s="215">
        <f>E497*C497</f>
        <v>600000</v>
      </c>
      <c r="G497" s="242" t="s">
        <v>1409</v>
      </c>
      <c r="J497" s="1221"/>
      <c r="K497" s="1221">
        <f t="shared" si="16"/>
        <v>600000</v>
      </c>
    </row>
    <row r="498" spans="1:21" x14ac:dyDescent="0.2">
      <c r="A498" s="484"/>
      <c r="B498" s="258"/>
      <c r="C498" s="214"/>
      <c r="D498" s="244"/>
      <c r="E498" s="215"/>
      <c r="F498" s="215"/>
      <c r="G498" s="242"/>
    </row>
    <row r="499" spans="1:21" x14ac:dyDescent="0.2">
      <c r="A499" s="400" t="s">
        <v>735</v>
      </c>
      <c r="B499" s="258" t="s">
        <v>2239</v>
      </c>
      <c r="C499" s="214"/>
      <c r="D499" s="244"/>
      <c r="E499" s="215"/>
      <c r="F499" s="215"/>
      <c r="G499" s="242"/>
    </row>
    <row r="500" spans="1:21" x14ac:dyDescent="0.2">
      <c r="A500" s="400" t="s">
        <v>2241</v>
      </c>
      <c r="B500" s="258" t="s">
        <v>2240</v>
      </c>
      <c r="C500" s="214"/>
      <c r="D500" s="244"/>
      <c r="E500" s="215"/>
      <c r="F500" s="215"/>
      <c r="G500" s="242"/>
    </row>
    <row r="501" spans="1:21" ht="36" x14ac:dyDescent="0.2">
      <c r="A501" s="484"/>
      <c r="B501" s="418" t="s">
        <v>2940</v>
      </c>
      <c r="C501" s="433">
        <v>65</v>
      </c>
      <c r="D501" s="466" t="s">
        <v>279</v>
      </c>
      <c r="E501" s="489">
        <v>500000</v>
      </c>
      <c r="F501" s="489">
        <f>E501*C501</f>
        <v>32500000</v>
      </c>
      <c r="G501" s="242" t="s">
        <v>2571</v>
      </c>
      <c r="H501" s="444">
        <f>12*5</f>
        <v>60</v>
      </c>
      <c r="L501" s="637"/>
      <c r="U501" s="637">
        <f>F501</f>
        <v>32500000</v>
      </c>
    </row>
    <row r="502" spans="1:21" x14ac:dyDescent="0.2">
      <c r="A502" s="243"/>
      <c r="B502" s="243" t="s">
        <v>26</v>
      </c>
      <c r="C502" s="433"/>
      <c r="D502" s="466"/>
      <c r="E502" s="222"/>
      <c r="F502" s="489">
        <f>SUM(F455:F501)</f>
        <v>375241500</v>
      </c>
      <c r="G502" s="242"/>
    </row>
    <row r="503" spans="1:21" x14ac:dyDescent="0.2">
      <c r="F503" s="1557">
        <v>140892000</v>
      </c>
    </row>
    <row r="504" spans="1:21" x14ac:dyDescent="0.2">
      <c r="A504" s="1762" t="s">
        <v>549</v>
      </c>
      <c r="B504" s="1762"/>
      <c r="C504" s="188" t="s">
        <v>27</v>
      </c>
      <c r="D504" s="1763" t="s">
        <v>1429</v>
      </c>
      <c r="E504" s="1763"/>
      <c r="F504" s="1763"/>
      <c r="G504" s="188"/>
    </row>
    <row r="505" spans="1:21" x14ac:dyDescent="0.2">
      <c r="A505" s="1762" t="s">
        <v>28</v>
      </c>
      <c r="B505" s="1762"/>
      <c r="C505" s="188"/>
      <c r="D505" s="1764" t="s">
        <v>2833</v>
      </c>
      <c r="E505" s="1764"/>
      <c r="F505" s="1764"/>
      <c r="G505" s="188"/>
    </row>
    <row r="506" spans="1:21" x14ac:dyDescent="0.2">
      <c r="A506" s="186"/>
      <c r="B506" s="187"/>
      <c r="C506" s="188"/>
      <c r="D506" s="189"/>
      <c r="E506" s="218"/>
      <c r="F506" s="218"/>
      <c r="G506" s="188"/>
    </row>
    <row r="507" spans="1:21" x14ac:dyDescent="0.2">
      <c r="A507" s="186"/>
      <c r="B507" s="187"/>
      <c r="C507" s="188"/>
      <c r="D507" s="189"/>
      <c r="E507" s="218"/>
      <c r="F507" s="218"/>
      <c r="G507" s="188"/>
    </row>
    <row r="508" spans="1:21" x14ac:dyDescent="0.2">
      <c r="A508" s="1762"/>
      <c r="B508" s="1762"/>
      <c r="C508" s="188"/>
      <c r="D508" s="189"/>
      <c r="E508" s="1762"/>
      <c r="F508" s="1762"/>
      <c r="G508" s="188"/>
    </row>
    <row r="509" spans="1:21" x14ac:dyDescent="0.2">
      <c r="A509" s="1762" t="s">
        <v>29</v>
      </c>
      <c r="B509" s="1762"/>
      <c r="C509" s="188"/>
      <c r="D509" s="1762" t="s">
        <v>2954</v>
      </c>
      <c r="E509" s="1762"/>
      <c r="F509" s="1762"/>
      <c r="G509" s="188"/>
    </row>
    <row r="510" spans="1:21" x14ac:dyDescent="0.2">
      <c r="A510" s="1765" t="s">
        <v>0</v>
      </c>
      <c r="B510" s="1765"/>
      <c r="C510" s="1765"/>
      <c r="D510" s="1765"/>
      <c r="E510" s="1765"/>
      <c r="F510" s="1765"/>
      <c r="G510" s="1765"/>
    </row>
    <row r="511" spans="1:21" x14ac:dyDescent="0.2">
      <c r="A511" s="1765" t="s">
        <v>1</v>
      </c>
      <c r="B511" s="1765"/>
      <c r="C511" s="1765"/>
      <c r="D511" s="1765"/>
      <c r="E511" s="1765"/>
      <c r="F511" s="1765"/>
      <c r="G511" s="1765"/>
    </row>
    <row r="512" spans="1:21" x14ac:dyDescent="0.2">
      <c r="A512" s="1765" t="s">
        <v>1769</v>
      </c>
      <c r="B512" s="1765"/>
      <c r="C512" s="1765"/>
      <c r="D512" s="1765"/>
      <c r="E512" s="1765"/>
      <c r="F512" s="1765"/>
      <c r="G512" s="1765"/>
    </row>
    <row r="513" spans="1:7" x14ac:dyDescent="0.2">
      <c r="A513" s="184"/>
      <c r="B513" s="184"/>
      <c r="C513" s="184"/>
      <c r="D513" s="184"/>
      <c r="E513" s="184"/>
      <c r="F513" s="184"/>
      <c r="G513" s="185"/>
    </row>
    <row r="514" spans="1:7" x14ac:dyDescent="0.2">
      <c r="A514" s="185" t="s">
        <v>690</v>
      </c>
      <c r="B514" s="185" t="s">
        <v>1441</v>
      </c>
      <c r="C514" s="185"/>
      <c r="D514" s="185"/>
      <c r="E514" s="227" t="s">
        <v>6</v>
      </c>
      <c r="F514" s="490"/>
      <c r="G514" s="185"/>
    </row>
    <row r="515" spans="1:7" x14ac:dyDescent="0.2">
      <c r="A515" s="385" t="s">
        <v>247</v>
      </c>
      <c r="B515" s="385" t="s">
        <v>688</v>
      </c>
      <c r="C515" s="385"/>
      <c r="D515" s="184"/>
      <c r="E515" s="193" t="s">
        <v>515</v>
      </c>
      <c r="F515" s="193" t="s">
        <v>461</v>
      </c>
      <c r="G515" s="185"/>
    </row>
    <row r="516" spans="1:7" ht="24" x14ac:dyDescent="0.2">
      <c r="A516" s="385" t="s">
        <v>687</v>
      </c>
      <c r="B516" s="386" t="s">
        <v>1289</v>
      </c>
      <c r="C516" s="386"/>
      <c r="D516" s="184"/>
      <c r="E516" s="468"/>
      <c r="F516" s="385"/>
      <c r="G516" s="185"/>
    </row>
    <row r="517" spans="1:7" x14ac:dyDescent="0.2">
      <c r="A517" s="185" t="s">
        <v>521</v>
      </c>
      <c r="B517" s="185" t="s">
        <v>546</v>
      </c>
      <c r="C517" s="185"/>
      <c r="D517" s="185"/>
      <c r="E517" s="185"/>
      <c r="F517" s="185"/>
      <c r="G517" s="185"/>
    </row>
    <row r="518" spans="1:7" x14ac:dyDescent="0.2">
      <c r="A518" s="1893" t="s">
        <v>503</v>
      </c>
      <c r="B518" s="1893"/>
      <c r="C518" s="185"/>
      <c r="D518" s="385"/>
      <c r="E518" s="431"/>
      <c r="F518" s="185"/>
      <c r="G518" s="185"/>
    </row>
    <row r="520" spans="1:7" ht="24" x14ac:dyDescent="0.2">
      <c r="A520" s="461" t="s">
        <v>30</v>
      </c>
      <c r="B520" s="461" t="s">
        <v>11</v>
      </c>
      <c r="C520" s="1972" t="s">
        <v>12</v>
      </c>
      <c r="D520" s="1973"/>
      <c r="E520" s="462" t="s">
        <v>13</v>
      </c>
      <c r="F520" s="461" t="s">
        <v>14</v>
      </c>
      <c r="G520" s="200" t="s">
        <v>34</v>
      </c>
    </row>
    <row r="521" spans="1:7" x14ac:dyDescent="0.2">
      <c r="A521" s="200">
        <v>1</v>
      </c>
      <c r="B521" s="200">
        <v>2</v>
      </c>
      <c r="C521" s="1789">
        <v>3</v>
      </c>
      <c r="D521" s="1789"/>
      <c r="E521" s="491">
        <v>4</v>
      </c>
      <c r="F521" s="200">
        <v>5</v>
      </c>
      <c r="G521" s="200">
        <v>6</v>
      </c>
    </row>
    <row r="522" spans="1:7" ht="24" x14ac:dyDescent="0.2">
      <c r="A522" s="461"/>
      <c r="B522" s="395" t="s">
        <v>1290</v>
      </c>
      <c r="C522" s="492"/>
      <c r="D522" s="493"/>
      <c r="E522" s="494"/>
      <c r="F522" s="461"/>
      <c r="G522" s="369"/>
    </row>
    <row r="523" spans="1:7" x14ac:dyDescent="0.2">
      <c r="A523" s="395" t="s">
        <v>720</v>
      </c>
      <c r="B523" s="369" t="s">
        <v>287</v>
      </c>
      <c r="C523" s="492"/>
      <c r="D523" s="493"/>
      <c r="E523" s="494"/>
      <c r="F523" s="461"/>
      <c r="G523" s="369"/>
    </row>
    <row r="524" spans="1:7" x14ac:dyDescent="0.2">
      <c r="A524" s="395" t="s">
        <v>721</v>
      </c>
      <c r="B524" s="369" t="s">
        <v>86</v>
      </c>
      <c r="C524" s="492"/>
      <c r="D524" s="493"/>
      <c r="E524" s="494"/>
      <c r="F524" s="461"/>
      <c r="G524" s="369"/>
    </row>
    <row r="525" spans="1:7" ht="24" x14ac:dyDescent="0.2">
      <c r="A525" s="495" t="s">
        <v>739</v>
      </c>
      <c r="B525" s="369" t="s">
        <v>738</v>
      </c>
      <c r="C525" s="492"/>
      <c r="D525" s="493"/>
      <c r="E525" s="494"/>
      <c r="F525" s="461"/>
      <c r="G525" s="369"/>
    </row>
    <row r="526" spans="1:7" x14ac:dyDescent="0.2">
      <c r="A526" s="461"/>
      <c r="B526" s="463" t="s">
        <v>2858</v>
      </c>
      <c r="C526" s="268">
        <v>1</v>
      </c>
      <c r="D526" s="295" t="s">
        <v>89</v>
      </c>
      <c r="E526" s="446">
        <v>70000</v>
      </c>
      <c r="F526" s="446">
        <f>C526*E526</f>
        <v>70000</v>
      </c>
      <c r="G526" s="369"/>
    </row>
    <row r="527" spans="1:7" x14ac:dyDescent="0.2">
      <c r="A527" s="461"/>
      <c r="B527" s="465" t="s">
        <v>275</v>
      </c>
      <c r="C527" s="268">
        <v>130</v>
      </c>
      <c r="D527" s="295" t="s">
        <v>276</v>
      </c>
      <c r="E527" s="446">
        <v>400</v>
      </c>
      <c r="F527" s="446">
        <f>C527*E527</f>
        <v>52000</v>
      </c>
      <c r="G527" s="369"/>
    </row>
    <row r="528" spans="1:7" x14ac:dyDescent="0.2">
      <c r="A528" s="461"/>
      <c r="B528" s="465"/>
      <c r="C528" s="268"/>
      <c r="D528" s="295"/>
      <c r="E528" s="446"/>
      <c r="F528" s="446"/>
      <c r="G528" s="369"/>
    </row>
    <row r="529" spans="1:7" x14ac:dyDescent="0.2">
      <c r="A529" s="369" t="s">
        <v>1798</v>
      </c>
      <c r="B529" s="465" t="s">
        <v>1018</v>
      </c>
      <c r="C529" s="268"/>
      <c r="D529" s="295"/>
      <c r="E529" s="446"/>
      <c r="F529" s="446"/>
      <c r="G529" s="369"/>
    </row>
    <row r="530" spans="1:7" x14ac:dyDescent="0.2">
      <c r="A530" s="369"/>
      <c r="B530" s="465" t="s">
        <v>1291</v>
      </c>
      <c r="C530" s="268">
        <v>1</v>
      </c>
      <c r="D530" s="295" t="s">
        <v>110</v>
      </c>
      <c r="E530" s="446">
        <v>1500000</v>
      </c>
      <c r="F530" s="446">
        <f>C530*E530</f>
        <v>1500000</v>
      </c>
      <c r="G530" s="369"/>
    </row>
    <row r="531" spans="1:7" x14ac:dyDescent="0.2">
      <c r="A531" s="369"/>
      <c r="B531" s="465" t="s">
        <v>1796</v>
      </c>
      <c r="C531" s="268">
        <v>3</v>
      </c>
      <c r="D531" s="295" t="s">
        <v>507</v>
      </c>
      <c r="E531" s="446">
        <v>400000</v>
      </c>
      <c r="F531" s="446">
        <f>C531*E531</f>
        <v>1200000</v>
      </c>
      <c r="G531" s="369"/>
    </row>
    <row r="532" spans="1:7" x14ac:dyDescent="0.2">
      <c r="A532" s="369"/>
      <c r="B532" s="465" t="s">
        <v>1790</v>
      </c>
      <c r="C532" s="268">
        <v>3</v>
      </c>
      <c r="D532" s="295" t="s">
        <v>507</v>
      </c>
      <c r="E532" s="446">
        <v>30000</v>
      </c>
      <c r="F532" s="446">
        <f>C532*E532</f>
        <v>90000</v>
      </c>
      <c r="G532" s="369"/>
    </row>
    <row r="533" spans="1:7" x14ac:dyDescent="0.2">
      <c r="A533" s="369"/>
      <c r="B533" s="465" t="s">
        <v>1797</v>
      </c>
      <c r="C533" s="268">
        <v>3</v>
      </c>
      <c r="D533" s="295" t="s">
        <v>507</v>
      </c>
      <c r="E533" s="446">
        <v>140000</v>
      </c>
      <c r="F533" s="446">
        <f>C533*E533</f>
        <v>420000</v>
      </c>
      <c r="G533" s="369"/>
    </row>
    <row r="534" spans="1:7" ht="24" x14ac:dyDescent="0.2">
      <c r="A534" s="369" t="s">
        <v>722</v>
      </c>
      <c r="B534" s="213" t="s">
        <v>317</v>
      </c>
      <c r="C534" s="372"/>
      <c r="D534" s="496"/>
      <c r="E534" s="424"/>
      <c r="F534" s="497"/>
      <c r="G534" s="369"/>
    </row>
    <row r="535" spans="1:7" x14ac:dyDescent="0.2">
      <c r="A535" s="369"/>
      <c r="B535" s="213" t="s">
        <v>2660</v>
      </c>
      <c r="C535" s="372">
        <v>200</v>
      </c>
      <c r="D535" s="496" t="s">
        <v>279</v>
      </c>
      <c r="E535" s="424">
        <v>15000</v>
      </c>
      <c r="F535" s="497">
        <f>E535*C535</f>
        <v>3000000</v>
      </c>
      <c r="G535" s="369"/>
    </row>
    <row r="536" spans="1:7" x14ac:dyDescent="0.2">
      <c r="A536" s="369"/>
      <c r="B536" s="213"/>
      <c r="C536" s="372"/>
      <c r="D536" s="496"/>
      <c r="E536" s="424"/>
      <c r="F536" s="497"/>
      <c r="G536" s="369"/>
    </row>
    <row r="537" spans="1:7" ht="24" x14ac:dyDescent="0.2">
      <c r="A537" s="369" t="s">
        <v>724</v>
      </c>
      <c r="B537" s="213" t="s">
        <v>337</v>
      </c>
      <c r="C537" s="372"/>
      <c r="D537" s="496"/>
      <c r="E537" s="424"/>
      <c r="F537" s="497"/>
      <c r="G537" s="369"/>
    </row>
    <row r="538" spans="1:7" x14ac:dyDescent="0.2">
      <c r="A538" s="369"/>
      <c r="B538" s="213" t="s">
        <v>338</v>
      </c>
      <c r="C538" s="372">
        <v>1</v>
      </c>
      <c r="D538" s="496" t="s">
        <v>95</v>
      </c>
      <c r="E538" s="424">
        <v>90000</v>
      </c>
      <c r="F538" s="497">
        <f>E538*C538</f>
        <v>90000</v>
      </c>
      <c r="G538" s="369"/>
    </row>
    <row r="539" spans="1:7" x14ac:dyDescent="0.2">
      <c r="A539" s="369"/>
      <c r="B539" s="213"/>
      <c r="C539" s="372"/>
      <c r="D539" s="496"/>
      <c r="E539" s="424"/>
      <c r="F539" s="497"/>
      <c r="G539" s="369"/>
    </row>
    <row r="540" spans="1:7" x14ac:dyDescent="0.2">
      <c r="A540" s="369" t="s">
        <v>727</v>
      </c>
      <c r="B540" s="213" t="s">
        <v>304</v>
      </c>
      <c r="C540" s="372"/>
      <c r="D540" s="496"/>
      <c r="E540" s="424"/>
      <c r="F540" s="497"/>
      <c r="G540" s="369"/>
    </row>
    <row r="541" spans="1:7" ht="48" x14ac:dyDescent="0.2">
      <c r="A541" s="369" t="s">
        <v>728</v>
      </c>
      <c r="B541" s="213" t="s">
        <v>707</v>
      </c>
      <c r="C541" s="372"/>
      <c r="D541" s="496"/>
      <c r="E541" s="498"/>
      <c r="F541" s="499"/>
      <c r="G541" s="369"/>
    </row>
    <row r="542" spans="1:7" ht="24" x14ac:dyDescent="0.2">
      <c r="A542" s="369"/>
      <c r="B542" s="213" t="s">
        <v>2762</v>
      </c>
      <c r="C542" s="372">
        <v>40</v>
      </c>
      <c r="D542" s="496" t="s">
        <v>279</v>
      </c>
      <c r="E542" s="498">
        <v>100000</v>
      </c>
      <c r="F542" s="499">
        <f>E542*C542</f>
        <v>4000000</v>
      </c>
      <c r="G542" s="369"/>
    </row>
    <row r="543" spans="1:7" ht="24" x14ac:dyDescent="0.2">
      <c r="A543" s="369"/>
      <c r="B543" s="213" t="s">
        <v>2763</v>
      </c>
      <c r="C543" s="372">
        <v>20</v>
      </c>
      <c r="D543" s="496" t="s">
        <v>279</v>
      </c>
      <c r="E543" s="498">
        <v>100000</v>
      </c>
      <c r="F543" s="499">
        <f>E543*C543</f>
        <v>2000000</v>
      </c>
      <c r="G543" s="369"/>
    </row>
    <row r="544" spans="1:7" x14ac:dyDescent="0.2">
      <c r="A544" s="369"/>
      <c r="B544" s="213"/>
      <c r="C544" s="372"/>
      <c r="D544" s="496"/>
      <c r="E544" s="424"/>
      <c r="F544" s="499"/>
      <c r="G544" s="369"/>
    </row>
    <row r="545" spans="1:17" x14ac:dyDescent="0.2">
      <c r="A545" s="500"/>
      <c r="B545" s="1841" t="s">
        <v>26</v>
      </c>
      <c r="C545" s="1992"/>
      <c r="D545" s="1992"/>
      <c r="E545" s="1992"/>
      <c r="F545" s="497">
        <f>SUM(F526:F544)</f>
        <v>12422000</v>
      </c>
      <c r="G545" s="369" t="s">
        <v>1417</v>
      </c>
      <c r="J545" s="457"/>
      <c r="Q545" s="457">
        <f>F545</f>
        <v>12422000</v>
      </c>
    </row>
    <row r="547" spans="1:17" x14ac:dyDescent="0.2">
      <c r="A547" s="1762" t="s">
        <v>549</v>
      </c>
      <c r="B547" s="1762"/>
      <c r="C547" s="188" t="s">
        <v>27</v>
      </c>
      <c r="D547" s="1763" t="s">
        <v>1429</v>
      </c>
      <c r="E547" s="1763"/>
      <c r="F547" s="1763"/>
      <c r="G547" s="188"/>
    </row>
    <row r="548" spans="1:17" x14ac:dyDescent="0.2">
      <c r="A548" s="1762" t="s">
        <v>28</v>
      </c>
      <c r="B548" s="1762"/>
      <c r="C548" s="188"/>
      <c r="D548" s="1764" t="s">
        <v>2833</v>
      </c>
      <c r="E548" s="1764"/>
      <c r="F548" s="1764"/>
      <c r="G548" s="188"/>
    </row>
    <row r="549" spans="1:17" x14ac:dyDescent="0.2">
      <c r="A549" s="186"/>
      <c r="B549" s="187"/>
      <c r="C549" s="188"/>
      <c r="D549" s="189"/>
      <c r="E549" s="218"/>
      <c r="F549" s="218"/>
      <c r="G549" s="188"/>
    </row>
    <row r="550" spans="1:17" x14ac:dyDescent="0.2">
      <c r="A550" s="186"/>
      <c r="B550" s="187"/>
      <c r="C550" s="188"/>
      <c r="D550" s="189"/>
      <c r="E550" s="218"/>
      <c r="F550" s="218"/>
      <c r="G550" s="188"/>
    </row>
    <row r="551" spans="1:17" x14ac:dyDescent="0.2">
      <c r="A551" s="1762"/>
      <c r="B551" s="1762"/>
      <c r="C551" s="188"/>
      <c r="D551" s="189"/>
      <c r="E551" s="1762"/>
      <c r="F551" s="1762"/>
      <c r="G551" s="188"/>
    </row>
    <row r="552" spans="1:17" x14ac:dyDescent="0.2">
      <c r="A552" s="1762" t="s">
        <v>29</v>
      </c>
      <c r="B552" s="1762"/>
      <c r="C552" s="188"/>
      <c r="D552" s="1762" t="s">
        <v>2954</v>
      </c>
      <c r="E552" s="1762"/>
      <c r="F552" s="1762"/>
      <c r="G552" s="188"/>
    </row>
    <row r="553" spans="1:17" x14ac:dyDescent="0.2">
      <c r="A553" s="1765" t="s">
        <v>0</v>
      </c>
      <c r="B553" s="1765"/>
      <c r="C553" s="1765"/>
      <c r="D553" s="1765"/>
      <c r="E553" s="1765"/>
      <c r="F553" s="1765"/>
      <c r="G553" s="1765"/>
    </row>
    <row r="554" spans="1:17" x14ac:dyDescent="0.2">
      <c r="A554" s="1765" t="s">
        <v>1</v>
      </c>
      <c r="B554" s="1765"/>
      <c r="C554" s="1765"/>
      <c r="D554" s="1765"/>
      <c r="E554" s="1765"/>
      <c r="F554" s="1765"/>
      <c r="G554" s="1765"/>
    </row>
    <row r="555" spans="1:17" x14ac:dyDescent="0.2">
      <c r="A555" s="1765" t="s">
        <v>1769</v>
      </c>
      <c r="B555" s="1765"/>
      <c r="C555" s="1765"/>
      <c r="D555" s="1765"/>
      <c r="E555" s="1765"/>
      <c r="F555" s="1765"/>
      <c r="G555" s="1765"/>
    </row>
    <row r="556" spans="1:17" x14ac:dyDescent="0.2">
      <c r="A556" s="444" t="s">
        <v>261</v>
      </c>
      <c r="B556" s="444" t="s">
        <v>911</v>
      </c>
    </row>
    <row r="557" spans="1:17" x14ac:dyDescent="0.2">
      <c r="A557" s="444" t="s">
        <v>262</v>
      </c>
      <c r="B557" s="444" t="s">
        <v>937</v>
      </c>
      <c r="E557" s="444" t="s">
        <v>6</v>
      </c>
      <c r="F557" s="444" t="s">
        <v>63</v>
      </c>
    </row>
    <row r="558" spans="1:17" ht="66" customHeight="1" x14ac:dyDescent="0.2">
      <c r="A558" s="501" t="s">
        <v>263</v>
      </c>
      <c r="B558" s="502" t="s">
        <v>1817</v>
      </c>
      <c r="C558" s="502"/>
      <c r="D558" s="502"/>
      <c r="E558" s="458" t="s">
        <v>9</v>
      </c>
      <c r="F558" s="444" t="s">
        <v>63</v>
      </c>
    </row>
    <row r="559" spans="1:17" ht="24" x14ac:dyDescent="0.2">
      <c r="A559" s="458" t="s">
        <v>457</v>
      </c>
      <c r="B559" s="444" t="s">
        <v>61</v>
      </c>
    </row>
    <row r="560" spans="1:17" x14ac:dyDescent="0.2">
      <c r="A560" s="458" t="s">
        <v>62</v>
      </c>
      <c r="B560" s="444" t="s">
        <v>63</v>
      </c>
    </row>
    <row r="562" spans="1:7" x14ac:dyDescent="0.2">
      <c r="A562" s="471" t="s">
        <v>265</v>
      </c>
      <c r="B562" s="471" t="s">
        <v>11</v>
      </c>
      <c r="C562" s="1995" t="s">
        <v>12</v>
      </c>
      <c r="D562" s="1996"/>
      <c r="E562" s="471" t="s">
        <v>13</v>
      </c>
      <c r="F562" s="471" t="s">
        <v>14</v>
      </c>
      <c r="G562" s="471" t="s">
        <v>266</v>
      </c>
    </row>
    <row r="563" spans="1:7" x14ac:dyDescent="0.2">
      <c r="A563" s="471">
        <v>1</v>
      </c>
      <c r="B563" s="471">
        <v>2</v>
      </c>
      <c r="C563" s="1995">
        <v>3</v>
      </c>
      <c r="D563" s="1996"/>
      <c r="E563" s="471">
        <v>4</v>
      </c>
      <c r="F563" s="471">
        <v>5</v>
      </c>
      <c r="G563" s="471">
        <v>6</v>
      </c>
    </row>
    <row r="564" spans="1:7" x14ac:dyDescent="0.2">
      <c r="A564" s="242" t="s">
        <v>720</v>
      </c>
      <c r="B564" s="242" t="s">
        <v>287</v>
      </c>
      <c r="C564" s="474"/>
      <c r="D564" s="503"/>
      <c r="E564" s="242"/>
      <c r="F564" s="242"/>
      <c r="G564" s="242"/>
    </row>
    <row r="565" spans="1:7" x14ac:dyDescent="0.2">
      <c r="A565" s="242" t="s">
        <v>739</v>
      </c>
      <c r="B565" s="463" t="s">
        <v>86</v>
      </c>
      <c r="C565" s="474"/>
      <c r="D565" s="503"/>
      <c r="E565" s="242"/>
      <c r="F565" s="242"/>
      <c r="G565" s="242"/>
    </row>
    <row r="566" spans="1:7" ht="24" x14ac:dyDescent="0.2">
      <c r="A566" s="242"/>
      <c r="B566" s="463" t="s">
        <v>738</v>
      </c>
      <c r="C566" s="474"/>
      <c r="D566" s="503"/>
      <c r="E566" s="242"/>
      <c r="F566" s="476"/>
      <c r="G566" s="242"/>
    </row>
    <row r="567" spans="1:7" x14ac:dyDescent="0.2">
      <c r="A567" s="242"/>
      <c r="B567" s="242" t="s">
        <v>1771</v>
      </c>
      <c r="C567" s="474">
        <v>26</v>
      </c>
      <c r="D567" s="503" t="s">
        <v>95</v>
      </c>
      <c r="E567" s="476">
        <v>3600</v>
      </c>
      <c r="F567" s="476">
        <f t="shared" ref="F567:F582" si="18">C567*E567</f>
        <v>93600</v>
      </c>
      <c r="G567" s="242"/>
    </row>
    <row r="568" spans="1:7" x14ac:dyDescent="0.2">
      <c r="A568" s="242"/>
      <c r="B568" s="242" t="s">
        <v>1776</v>
      </c>
      <c r="C568" s="474">
        <v>26</v>
      </c>
      <c r="D568" s="503" t="s">
        <v>95</v>
      </c>
      <c r="E568" s="476">
        <v>6000</v>
      </c>
      <c r="F568" s="476">
        <f t="shared" si="18"/>
        <v>156000</v>
      </c>
      <c r="G568" s="242"/>
    </row>
    <row r="569" spans="1:7" x14ac:dyDescent="0.2">
      <c r="A569" s="242"/>
      <c r="B569" s="242" t="s">
        <v>1772</v>
      </c>
      <c r="C569" s="474">
        <v>20</v>
      </c>
      <c r="D569" s="503" t="s">
        <v>95</v>
      </c>
      <c r="E569" s="476">
        <v>27000</v>
      </c>
      <c r="F569" s="476">
        <f t="shared" si="18"/>
        <v>540000</v>
      </c>
      <c r="G569" s="242"/>
    </row>
    <row r="570" spans="1:7" x14ac:dyDescent="0.2">
      <c r="A570" s="242"/>
      <c r="B570" s="242" t="s">
        <v>1773</v>
      </c>
      <c r="C570" s="474">
        <v>5</v>
      </c>
      <c r="D570" s="503" t="s">
        <v>95</v>
      </c>
      <c r="E570" s="476">
        <v>8800</v>
      </c>
      <c r="F570" s="476">
        <f t="shared" si="18"/>
        <v>44000</v>
      </c>
      <c r="G570" s="242"/>
    </row>
    <row r="571" spans="1:7" x14ac:dyDescent="0.2">
      <c r="A571" s="242"/>
      <c r="B571" s="242" t="s">
        <v>1260</v>
      </c>
      <c r="C571" s="474">
        <v>300</v>
      </c>
      <c r="D571" s="503" t="s">
        <v>276</v>
      </c>
      <c r="E571" s="476">
        <v>400</v>
      </c>
      <c r="F571" s="476">
        <f t="shared" si="18"/>
        <v>120000</v>
      </c>
      <c r="G571" s="242"/>
    </row>
    <row r="572" spans="1:7" x14ac:dyDescent="0.2">
      <c r="A572" s="242"/>
      <c r="B572" s="242"/>
      <c r="C572" s="474"/>
      <c r="D572" s="503"/>
      <c r="E572" s="476"/>
      <c r="F572" s="476"/>
      <c r="G572" s="242"/>
    </row>
    <row r="573" spans="1:7" ht="24" x14ac:dyDescent="0.2">
      <c r="A573" s="242" t="s">
        <v>722</v>
      </c>
      <c r="B573" s="463" t="s">
        <v>317</v>
      </c>
      <c r="C573" s="474"/>
      <c r="D573" s="503"/>
      <c r="E573" s="476"/>
      <c r="F573" s="476"/>
      <c r="G573" s="242"/>
    </row>
    <row r="574" spans="1:7" ht="24" x14ac:dyDescent="0.2">
      <c r="A574" s="242"/>
      <c r="B574" s="463" t="s">
        <v>1774</v>
      </c>
      <c r="C574" s="474">
        <v>30</v>
      </c>
      <c r="D574" s="503" t="s">
        <v>279</v>
      </c>
      <c r="E574" s="476">
        <v>30000</v>
      </c>
      <c r="F574" s="476">
        <f t="shared" si="18"/>
        <v>900000</v>
      </c>
      <c r="G574" s="242"/>
    </row>
    <row r="575" spans="1:7" x14ac:dyDescent="0.2">
      <c r="A575" s="242"/>
      <c r="B575" s="242"/>
      <c r="C575" s="474"/>
      <c r="D575" s="503"/>
      <c r="E575" s="476"/>
      <c r="F575" s="476"/>
      <c r="G575" s="242"/>
    </row>
    <row r="576" spans="1:7" ht="24" x14ac:dyDescent="0.2">
      <c r="A576" s="242" t="s">
        <v>724</v>
      </c>
      <c r="B576" s="463" t="s">
        <v>337</v>
      </c>
      <c r="C576" s="474"/>
      <c r="D576" s="503"/>
      <c r="E576" s="476"/>
      <c r="F576" s="476"/>
      <c r="G576" s="242"/>
    </row>
    <row r="577" spans="1:19" x14ac:dyDescent="0.2">
      <c r="A577" s="242"/>
      <c r="B577" s="242" t="s">
        <v>338</v>
      </c>
      <c r="C577" s="474">
        <v>1</v>
      </c>
      <c r="D577" s="503" t="s">
        <v>95</v>
      </c>
      <c r="E577" s="476">
        <v>90000</v>
      </c>
      <c r="F577" s="476">
        <f t="shared" si="18"/>
        <v>90000</v>
      </c>
      <c r="G577" s="242"/>
    </row>
    <row r="578" spans="1:19" x14ac:dyDescent="0.2">
      <c r="A578" s="242"/>
      <c r="B578" s="242"/>
      <c r="C578" s="474"/>
      <c r="D578" s="503"/>
      <c r="E578" s="476"/>
      <c r="F578" s="476"/>
      <c r="G578" s="242"/>
    </row>
    <row r="579" spans="1:19" x14ac:dyDescent="0.2">
      <c r="A579" s="242"/>
      <c r="B579" s="242"/>
      <c r="C579" s="474"/>
      <c r="D579" s="503"/>
      <c r="E579" s="476"/>
      <c r="F579" s="476"/>
      <c r="G579" s="242"/>
    </row>
    <row r="580" spans="1:19" x14ac:dyDescent="0.2">
      <c r="A580" s="242" t="s">
        <v>727</v>
      </c>
      <c r="B580" s="242" t="s">
        <v>374</v>
      </c>
      <c r="C580" s="474"/>
      <c r="D580" s="503"/>
      <c r="E580" s="476"/>
      <c r="F580" s="476"/>
      <c r="G580" s="242"/>
    </row>
    <row r="581" spans="1:19" ht="36" x14ac:dyDescent="0.2">
      <c r="A581" s="242" t="s">
        <v>758</v>
      </c>
      <c r="B581" s="463" t="s">
        <v>439</v>
      </c>
      <c r="C581" s="474"/>
      <c r="D581" s="503"/>
      <c r="E581" s="476"/>
      <c r="F581" s="476"/>
      <c r="G581" s="242"/>
    </row>
    <row r="582" spans="1:19" x14ac:dyDescent="0.2">
      <c r="A582" s="242"/>
      <c r="B582" s="242" t="s">
        <v>1775</v>
      </c>
      <c r="C582" s="474">
        <v>2</v>
      </c>
      <c r="D582" s="503" t="s">
        <v>419</v>
      </c>
      <c r="E582" s="476">
        <v>300000</v>
      </c>
      <c r="F582" s="476">
        <f t="shared" si="18"/>
        <v>600000</v>
      </c>
      <c r="G582" s="242"/>
    </row>
    <row r="583" spans="1:19" x14ac:dyDescent="0.2">
      <c r="A583" s="242"/>
      <c r="B583" s="242"/>
      <c r="C583" s="474"/>
      <c r="D583" s="503"/>
      <c r="E583" s="504"/>
      <c r="F583" s="476"/>
      <c r="G583" s="242"/>
    </row>
    <row r="584" spans="1:19" x14ac:dyDescent="0.2">
      <c r="A584" s="242"/>
      <c r="B584" s="242" t="s">
        <v>26</v>
      </c>
      <c r="C584" s="474"/>
      <c r="D584" s="503"/>
      <c r="E584" s="504"/>
      <c r="F584" s="476">
        <f>SUM(F567:F583)</f>
        <v>2543600</v>
      </c>
      <c r="G584" s="242" t="s">
        <v>1409</v>
      </c>
      <c r="J584" s="637"/>
      <c r="K584" s="637">
        <f>F584</f>
        <v>2543600</v>
      </c>
      <c r="S584" s="637"/>
    </row>
    <row r="586" spans="1:19" x14ac:dyDescent="0.2">
      <c r="A586" s="1762" t="s">
        <v>549</v>
      </c>
      <c r="B586" s="1762"/>
      <c r="C586" s="188" t="s">
        <v>27</v>
      </c>
      <c r="D586" s="1763" t="s">
        <v>1429</v>
      </c>
      <c r="E586" s="1763"/>
      <c r="F586" s="1763"/>
      <c r="G586" s="188"/>
    </row>
    <row r="587" spans="1:19" x14ac:dyDescent="0.2">
      <c r="A587" s="1762" t="s">
        <v>28</v>
      </c>
      <c r="B587" s="1762"/>
      <c r="C587" s="188"/>
      <c r="D587" s="1764" t="s">
        <v>2833</v>
      </c>
      <c r="E587" s="1764"/>
      <c r="F587" s="1764"/>
      <c r="G587" s="188"/>
    </row>
    <row r="588" spans="1:19" x14ac:dyDescent="0.2">
      <c r="A588" s="186"/>
      <c r="B588" s="187"/>
      <c r="C588" s="188"/>
      <c r="D588" s="189"/>
      <c r="E588" s="218"/>
      <c r="F588" s="218"/>
      <c r="G588" s="188"/>
    </row>
    <row r="589" spans="1:19" x14ac:dyDescent="0.2">
      <c r="A589" s="186"/>
      <c r="B589" s="187"/>
      <c r="C589" s="188"/>
      <c r="D589" s="189"/>
      <c r="E589" s="218"/>
      <c r="F589" s="218"/>
      <c r="G589" s="188"/>
    </row>
    <row r="590" spans="1:19" x14ac:dyDescent="0.2">
      <c r="A590" s="1762"/>
      <c r="B590" s="1762"/>
      <c r="C590" s="188"/>
      <c r="D590" s="189"/>
      <c r="E590" s="1762"/>
      <c r="F590" s="1762"/>
      <c r="G590" s="188"/>
    </row>
    <row r="591" spans="1:19" x14ac:dyDescent="0.2">
      <c r="A591" s="1762" t="s">
        <v>29</v>
      </c>
      <c r="B591" s="1762"/>
      <c r="C591" s="188"/>
      <c r="D591" s="1762" t="s">
        <v>2954</v>
      </c>
      <c r="E591" s="1762"/>
      <c r="F591" s="1762"/>
      <c r="G591" s="188"/>
    </row>
    <row r="592" spans="1:19" x14ac:dyDescent="0.2">
      <c r="A592" s="1762" t="s">
        <v>0</v>
      </c>
      <c r="B592" s="1762"/>
      <c r="C592" s="1762"/>
      <c r="D592" s="1762"/>
      <c r="E592" s="1762"/>
      <c r="F592" s="1762"/>
      <c r="G592" s="1762"/>
    </row>
    <row r="593" spans="1:7" x14ac:dyDescent="0.2">
      <c r="A593" s="1762" t="s">
        <v>1</v>
      </c>
      <c r="B593" s="1762"/>
      <c r="C593" s="1762"/>
      <c r="D593" s="1762"/>
      <c r="E593" s="1762"/>
      <c r="F593" s="1762"/>
      <c r="G593" s="1762"/>
    </row>
    <row r="594" spans="1:7" x14ac:dyDescent="0.2">
      <c r="A594" s="1762" t="s">
        <v>1769</v>
      </c>
      <c r="B594" s="1762"/>
      <c r="C594" s="1762"/>
      <c r="D594" s="1762"/>
      <c r="E594" s="1762"/>
      <c r="F594" s="1762"/>
      <c r="G594" s="1762"/>
    </row>
    <row r="595" spans="1:7" ht="24" x14ac:dyDescent="0.2">
      <c r="A595" s="253" t="s">
        <v>570</v>
      </c>
      <c r="B595" s="254" t="s">
        <v>1166</v>
      </c>
      <c r="C595" s="188"/>
      <c r="D595" s="189"/>
      <c r="E595" s="190"/>
      <c r="F595" s="190"/>
      <c r="G595" s="187"/>
    </row>
    <row r="596" spans="1:7" x14ac:dyDescent="0.2">
      <c r="A596" s="220" t="s">
        <v>572</v>
      </c>
      <c r="B596" s="385" t="s">
        <v>1676</v>
      </c>
      <c r="C596" s="188"/>
      <c r="D596" s="189"/>
      <c r="E596" s="227" t="s">
        <v>6</v>
      </c>
      <c r="F596" s="227"/>
      <c r="G596" s="187"/>
    </row>
    <row r="597" spans="1:7" ht="42" customHeight="1" x14ac:dyDescent="0.2">
      <c r="A597" s="220" t="s">
        <v>362</v>
      </c>
      <c r="B597" s="505" t="s">
        <v>1677</v>
      </c>
      <c r="C597" s="188"/>
      <c r="D597" s="189"/>
      <c r="E597" s="506" t="s">
        <v>9</v>
      </c>
      <c r="F597" s="186"/>
      <c r="G597" s="187"/>
    </row>
    <row r="598" spans="1:7" ht="24" x14ac:dyDescent="0.2">
      <c r="A598" s="221" t="s">
        <v>37</v>
      </c>
      <c r="B598" s="232"/>
      <c r="C598" s="188"/>
      <c r="D598" s="189"/>
      <c r="E598" s="190"/>
      <c r="F598" s="190"/>
      <c r="G598" s="187"/>
    </row>
    <row r="599" spans="1:7" x14ac:dyDescent="0.2">
      <c r="A599" s="192" t="s">
        <v>10</v>
      </c>
      <c r="B599" s="187"/>
      <c r="C599" s="188"/>
      <c r="D599" s="189"/>
      <c r="E599" s="190"/>
      <c r="F599" s="190"/>
      <c r="G599" s="187"/>
    </row>
    <row r="600" spans="1:7" ht="24" x14ac:dyDescent="0.2">
      <c r="A600" s="198"/>
      <c r="B600" s="198" t="s">
        <v>11</v>
      </c>
      <c r="C600" s="1766" t="s">
        <v>12</v>
      </c>
      <c r="D600" s="1766"/>
      <c r="E600" s="267" t="s">
        <v>13</v>
      </c>
      <c r="F600" s="198" t="s">
        <v>14</v>
      </c>
      <c r="G600" s="200" t="s">
        <v>266</v>
      </c>
    </row>
    <row r="601" spans="1:7" x14ac:dyDescent="0.2">
      <c r="A601" s="197">
        <v>1</v>
      </c>
      <c r="B601" s="197">
        <v>2</v>
      </c>
      <c r="C601" s="1773">
        <v>3</v>
      </c>
      <c r="D601" s="1774"/>
      <c r="E601" s="2">
        <v>4</v>
      </c>
      <c r="F601" s="205">
        <v>5</v>
      </c>
      <c r="G601" s="202">
        <v>6</v>
      </c>
    </row>
    <row r="602" spans="1:7" x14ac:dyDescent="0.2">
      <c r="A602" s="484"/>
      <c r="B602" s="484" t="s">
        <v>1168</v>
      </c>
      <c r="C602" s="419"/>
      <c r="D602" s="420"/>
      <c r="E602" s="201"/>
      <c r="F602" s="200"/>
      <c r="G602" s="200"/>
    </row>
    <row r="603" spans="1:7" x14ac:dyDescent="0.2">
      <c r="A603" s="203" t="s">
        <v>1169</v>
      </c>
      <c r="B603" s="204" t="s">
        <v>84</v>
      </c>
      <c r="C603" s="205"/>
      <c r="D603" s="206"/>
      <c r="E603" s="197"/>
      <c r="F603" s="197"/>
      <c r="G603" s="197"/>
    </row>
    <row r="604" spans="1:7" x14ac:dyDescent="0.2">
      <c r="A604" s="203" t="s">
        <v>1170</v>
      </c>
      <c r="B604" s="204" t="s">
        <v>86</v>
      </c>
      <c r="C604" s="205"/>
      <c r="D604" s="206"/>
      <c r="E604" s="197"/>
      <c r="F604" s="197"/>
      <c r="G604" s="197"/>
    </row>
    <row r="605" spans="1:7" ht="36" x14ac:dyDescent="0.2">
      <c r="A605" s="203" t="s">
        <v>1171</v>
      </c>
      <c r="B605" s="213" t="s">
        <v>405</v>
      </c>
      <c r="C605" s="214"/>
      <c r="D605" s="244"/>
      <c r="E605" s="215"/>
      <c r="F605" s="215"/>
      <c r="G605" s="199"/>
    </row>
    <row r="606" spans="1:7" ht="36" x14ac:dyDescent="0.2">
      <c r="A606" s="203"/>
      <c r="B606" s="213" t="s">
        <v>1678</v>
      </c>
      <c r="C606" s="214">
        <v>70</v>
      </c>
      <c r="D606" s="244" t="s">
        <v>279</v>
      </c>
      <c r="E606" s="215">
        <v>15000</v>
      </c>
      <c r="F606" s="215">
        <f>E606*C606</f>
        <v>1050000</v>
      </c>
      <c r="G606" s="199"/>
    </row>
    <row r="607" spans="1:7" x14ac:dyDescent="0.2">
      <c r="A607" s="257"/>
      <c r="B607" s="258"/>
      <c r="C607" s="214"/>
      <c r="D607" s="244"/>
      <c r="E607" s="215"/>
      <c r="F607" s="215"/>
      <c r="G607" s="199"/>
    </row>
    <row r="608" spans="1:7" ht="24" x14ac:dyDescent="0.2">
      <c r="A608" s="203" t="s">
        <v>1172</v>
      </c>
      <c r="B608" s="213" t="s">
        <v>167</v>
      </c>
      <c r="C608" s="214"/>
      <c r="D608" s="244"/>
      <c r="E608" s="215"/>
      <c r="F608" s="215"/>
      <c r="G608" s="199"/>
    </row>
    <row r="609" spans="1:8" x14ac:dyDescent="0.2">
      <c r="A609" s="212"/>
      <c r="B609" s="213" t="s">
        <v>836</v>
      </c>
      <c r="C609" s="214">
        <v>1</v>
      </c>
      <c r="D609" s="244" t="s">
        <v>110</v>
      </c>
      <c r="E609" s="215">
        <v>90000</v>
      </c>
      <c r="F609" s="215">
        <f>E609*C609</f>
        <v>90000</v>
      </c>
      <c r="G609" s="199"/>
    </row>
    <row r="610" spans="1:8" x14ac:dyDescent="0.2">
      <c r="A610" s="203"/>
      <c r="B610" s="423"/>
      <c r="C610" s="214"/>
      <c r="D610" s="244"/>
      <c r="E610" s="215"/>
      <c r="F610" s="215"/>
      <c r="G610" s="199"/>
    </row>
    <row r="611" spans="1:8" x14ac:dyDescent="0.2">
      <c r="A611" s="203"/>
      <c r="B611" s="423"/>
      <c r="C611" s="214"/>
      <c r="D611" s="244"/>
      <c r="E611" s="215"/>
      <c r="F611" s="215"/>
      <c r="G611" s="199"/>
    </row>
    <row r="612" spans="1:8" ht="24" x14ac:dyDescent="0.2">
      <c r="A612" s="203" t="s">
        <v>1173</v>
      </c>
      <c r="B612" s="423" t="s">
        <v>1174</v>
      </c>
      <c r="C612" s="214"/>
      <c r="D612" s="244"/>
      <c r="E612" s="215" t="s">
        <v>474</v>
      </c>
      <c r="F612" s="215"/>
      <c r="G612" s="199"/>
    </row>
    <row r="613" spans="1:8" x14ac:dyDescent="0.2">
      <c r="A613" s="203"/>
      <c r="B613" s="258" t="s">
        <v>1175</v>
      </c>
      <c r="C613" s="214">
        <v>2</v>
      </c>
      <c r="D613" s="244" t="s">
        <v>1176</v>
      </c>
      <c r="E613" s="215">
        <v>300000</v>
      </c>
      <c r="F613" s="215">
        <f>E613*C613</f>
        <v>600000</v>
      </c>
      <c r="G613" s="199"/>
    </row>
    <row r="614" spans="1:8" x14ac:dyDescent="0.2">
      <c r="A614" s="203"/>
      <c r="B614" s="258"/>
      <c r="C614" s="214"/>
      <c r="D614" s="244"/>
      <c r="E614" s="215"/>
      <c r="F614" s="215"/>
      <c r="G614" s="199"/>
    </row>
    <row r="615" spans="1:8" x14ac:dyDescent="0.2">
      <c r="A615" s="258"/>
      <c r="B615" s="233" t="s">
        <v>1177</v>
      </c>
      <c r="C615" s="214"/>
      <c r="D615" s="244"/>
      <c r="E615" s="215"/>
      <c r="F615" s="215"/>
      <c r="G615" s="199"/>
    </row>
    <row r="616" spans="1:8" x14ac:dyDescent="0.2">
      <c r="A616" s="258"/>
      <c r="B616" s="258"/>
      <c r="C616" s="214"/>
      <c r="D616" s="244"/>
      <c r="E616" s="215"/>
      <c r="F616" s="215"/>
      <c r="G616" s="199"/>
    </row>
    <row r="617" spans="1:8" x14ac:dyDescent="0.2">
      <c r="A617" s="203" t="s">
        <v>1169</v>
      </c>
      <c r="B617" s="204" t="s">
        <v>84</v>
      </c>
      <c r="C617" s="205"/>
      <c r="D617" s="206"/>
      <c r="E617" s="197"/>
      <c r="F617" s="197"/>
      <c r="G617" s="197"/>
    </row>
    <row r="618" spans="1:8" x14ac:dyDescent="0.2">
      <c r="A618" s="203" t="s">
        <v>1170</v>
      </c>
      <c r="B618" s="204" t="s">
        <v>86</v>
      </c>
      <c r="C618" s="205"/>
      <c r="D618" s="206"/>
      <c r="E618" s="197"/>
      <c r="F618" s="197"/>
      <c r="G618" s="197"/>
    </row>
    <row r="619" spans="1:8" ht="36" x14ac:dyDescent="0.2">
      <c r="A619" s="203" t="s">
        <v>1171</v>
      </c>
      <c r="B619" s="213" t="s">
        <v>405</v>
      </c>
      <c r="C619" s="214"/>
      <c r="D619" s="244"/>
      <c r="E619" s="215"/>
      <c r="F619" s="215"/>
      <c r="G619" s="199"/>
    </row>
    <row r="620" spans="1:8" ht="24" x14ac:dyDescent="0.2">
      <c r="A620" s="256"/>
      <c r="B620" s="213" t="s">
        <v>1178</v>
      </c>
      <c r="C620" s="214">
        <f>35*2*12</f>
        <v>840</v>
      </c>
      <c r="D620" s="244" t="s">
        <v>279</v>
      </c>
      <c r="E620" s="215">
        <v>15000</v>
      </c>
      <c r="F620" s="215">
        <f>E620*C620</f>
        <v>12600000</v>
      </c>
      <c r="G620" s="199"/>
      <c r="H620" s="444" t="s">
        <v>2751</v>
      </c>
    </row>
    <row r="621" spans="1:8" x14ac:dyDescent="0.2">
      <c r="A621" s="257"/>
      <c r="B621" s="423"/>
      <c r="C621" s="214"/>
      <c r="D621" s="244"/>
      <c r="E621" s="215"/>
      <c r="F621" s="215"/>
      <c r="G621" s="199"/>
    </row>
    <row r="622" spans="1:8" x14ac:dyDescent="0.2">
      <c r="A622" s="203" t="s">
        <v>1179</v>
      </c>
      <c r="B622" s="258" t="s">
        <v>1018</v>
      </c>
      <c r="C622" s="214"/>
      <c r="D622" s="244"/>
      <c r="E622" s="215"/>
      <c r="F622" s="215"/>
      <c r="G622" s="199"/>
    </row>
    <row r="623" spans="1:8" ht="24" x14ac:dyDescent="0.2">
      <c r="A623" s="257"/>
      <c r="B623" s="423" t="s">
        <v>1180</v>
      </c>
      <c r="C623" s="214">
        <v>24</v>
      </c>
      <c r="D623" s="244" t="s">
        <v>110</v>
      </c>
      <c r="E623" s="215">
        <v>10000</v>
      </c>
      <c r="F623" s="215">
        <f>E623*C623</f>
        <v>240000</v>
      </c>
      <c r="G623" s="199"/>
    </row>
    <row r="624" spans="1:8" x14ac:dyDescent="0.2">
      <c r="A624" s="257"/>
      <c r="B624" s="258" t="s">
        <v>1181</v>
      </c>
      <c r="C624" s="214">
        <v>2</v>
      </c>
      <c r="D624" s="244" t="s">
        <v>418</v>
      </c>
      <c r="E624" s="215">
        <v>300000</v>
      </c>
      <c r="F624" s="215">
        <f>E624*C624</f>
        <v>600000</v>
      </c>
      <c r="G624" s="199"/>
    </row>
    <row r="625" spans="1:21" x14ac:dyDescent="0.2">
      <c r="A625" s="203"/>
      <c r="B625" s="204"/>
      <c r="C625" s="205"/>
      <c r="D625" s="206"/>
      <c r="E625" s="259"/>
      <c r="F625" s="259"/>
      <c r="G625" s="198"/>
    </row>
    <row r="626" spans="1:21" ht="24" x14ac:dyDescent="0.2">
      <c r="A626" s="1791" t="s">
        <v>26</v>
      </c>
      <c r="B626" s="1792"/>
      <c r="C626" s="1792"/>
      <c r="D626" s="1792"/>
      <c r="E626" s="1793"/>
      <c r="F626" s="215">
        <f>SUM(F602:F625)</f>
        <v>15180000</v>
      </c>
      <c r="G626" s="213" t="s">
        <v>2571</v>
      </c>
      <c r="L626" s="1221"/>
      <c r="S626" s="1221"/>
      <c r="U626" s="1221">
        <f>F626</f>
        <v>15180000</v>
      </c>
    </row>
    <row r="627" spans="1:21" x14ac:dyDescent="0.2">
      <c r="A627" s="1762" t="s">
        <v>549</v>
      </c>
      <c r="B627" s="1762"/>
      <c r="C627" s="188" t="s">
        <v>27</v>
      </c>
      <c r="D627" s="1763" t="s">
        <v>1429</v>
      </c>
      <c r="E627" s="1763"/>
      <c r="F627" s="1763"/>
      <c r="G627" s="188"/>
    </row>
    <row r="628" spans="1:21" x14ac:dyDescent="0.2">
      <c r="A628" s="1762" t="s">
        <v>28</v>
      </c>
      <c r="B628" s="1762"/>
      <c r="C628" s="188"/>
      <c r="D628" s="1764" t="s">
        <v>2833</v>
      </c>
      <c r="E628" s="1764"/>
      <c r="F628" s="1764"/>
      <c r="G628" s="188"/>
    </row>
    <row r="629" spans="1:21" x14ac:dyDescent="0.2">
      <c r="A629" s="186"/>
      <c r="B629" s="187"/>
      <c r="C629" s="188"/>
      <c r="D629" s="189"/>
      <c r="E629" s="218"/>
      <c r="F629" s="218"/>
      <c r="G629" s="188"/>
    </row>
    <row r="630" spans="1:21" x14ac:dyDescent="0.2">
      <c r="A630" s="186"/>
      <c r="B630" s="187"/>
      <c r="C630" s="188"/>
      <c r="D630" s="189"/>
      <c r="E630" s="218"/>
      <c r="F630" s="218"/>
      <c r="G630" s="188"/>
    </row>
    <row r="631" spans="1:21" x14ac:dyDescent="0.2">
      <c r="A631" s="1762"/>
      <c r="B631" s="1762"/>
      <c r="C631" s="188"/>
      <c r="D631" s="189"/>
      <c r="E631" s="1762"/>
      <c r="F631" s="1762"/>
      <c r="G631" s="188"/>
    </row>
    <row r="632" spans="1:21" x14ac:dyDescent="0.2">
      <c r="A632" s="1762" t="s">
        <v>29</v>
      </c>
      <c r="B632" s="1762"/>
      <c r="C632" s="188"/>
      <c r="D632" s="1762" t="s">
        <v>2954</v>
      </c>
      <c r="E632" s="1762"/>
      <c r="F632" s="1762"/>
      <c r="G632" s="188"/>
    </row>
    <row r="633" spans="1:21" x14ac:dyDescent="0.2">
      <c r="A633" s="2001"/>
      <c r="B633" s="2001"/>
      <c r="C633" s="188"/>
      <c r="D633" s="1763"/>
      <c r="E633" s="1763"/>
      <c r="F633" s="1763"/>
      <c r="G633" s="187"/>
    </row>
    <row r="634" spans="1:21" x14ac:dyDescent="0.2">
      <c r="A634" s="1765" t="s">
        <v>0</v>
      </c>
      <c r="B634" s="1765"/>
      <c r="C634" s="1765"/>
      <c r="D634" s="1765"/>
      <c r="E634" s="1765"/>
      <c r="F634" s="1765"/>
    </row>
    <row r="635" spans="1:21" x14ac:dyDescent="0.2">
      <c r="A635" s="1765" t="s">
        <v>1</v>
      </c>
      <c r="B635" s="1765"/>
      <c r="C635" s="1765"/>
      <c r="D635" s="1765"/>
      <c r="E635" s="1765"/>
      <c r="F635" s="1765"/>
    </row>
    <row r="636" spans="1:21" x14ac:dyDescent="0.2">
      <c r="A636" s="1765" t="s">
        <v>1769</v>
      </c>
      <c r="B636" s="1765"/>
      <c r="C636" s="1765"/>
      <c r="D636" s="1765"/>
      <c r="E636" s="1765"/>
      <c r="F636" s="1765"/>
    </row>
    <row r="637" spans="1:21" x14ac:dyDescent="0.2">
      <c r="A637" s="185" t="s">
        <v>690</v>
      </c>
      <c r="B637" s="185" t="s">
        <v>689</v>
      </c>
      <c r="C637" s="185"/>
      <c r="D637" s="185"/>
      <c r="E637" s="227" t="s">
        <v>6</v>
      </c>
      <c r="F637" s="227" t="s">
        <v>63</v>
      </c>
    </row>
    <row r="638" spans="1:21" x14ac:dyDescent="0.2">
      <c r="A638" s="385" t="s">
        <v>247</v>
      </c>
      <c r="B638" s="385" t="s">
        <v>688</v>
      </c>
      <c r="C638" s="185"/>
      <c r="D638" s="185"/>
      <c r="E638" s="193" t="s">
        <v>515</v>
      </c>
      <c r="F638" s="193" t="s">
        <v>63</v>
      </c>
    </row>
    <row r="639" spans="1:21" ht="54.75" customHeight="1" x14ac:dyDescent="0.2">
      <c r="A639" s="507" t="s">
        <v>687</v>
      </c>
      <c r="B639" s="386" t="s">
        <v>2912</v>
      </c>
      <c r="C639" s="185"/>
      <c r="D639" s="185"/>
      <c r="E639" s="185"/>
      <c r="F639" s="185"/>
    </row>
    <row r="640" spans="1:21" x14ac:dyDescent="0.2">
      <c r="A640" s="185" t="s">
        <v>521</v>
      </c>
      <c r="B640" s="185" t="s">
        <v>546</v>
      </c>
      <c r="C640" s="185"/>
      <c r="D640" s="185"/>
      <c r="E640" s="185"/>
      <c r="F640" s="185"/>
    </row>
    <row r="641" spans="1:7" x14ac:dyDescent="0.2">
      <c r="A641" s="1893" t="s">
        <v>503</v>
      </c>
      <c r="B641" s="1893"/>
      <c r="C641" s="185"/>
      <c r="D641" s="185"/>
      <c r="E641" s="185"/>
      <c r="F641" s="185"/>
    </row>
    <row r="642" spans="1:7" ht="24" x14ac:dyDescent="0.2">
      <c r="A642" s="469" t="s">
        <v>547</v>
      </c>
      <c r="B642" s="469" t="s">
        <v>11</v>
      </c>
      <c r="C642" s="1954" t="s">
        <v>12</v>
      </c>
      <c r="D642" s="1955"/>
      <c r="E642" s="470" t="s">
        <v>13</v>
      </c>
      <c r="F642" s="469" t="s">
        <v>14</v>
      </c>
      <c r="G642" s="471" t="s">
        <v>266</v>
      </c>
    </row>
    <row r="643" spans="1:7" x14ac:dyDescent="0.2">
      <c r="A643" s="472">
        <v>1</v>
      </c>
      <c r="B643" s="472">
        <v>2</v>
      </c>
      <c r="C643" s="1943">
        <v>3</v>
      </c>
      <c r="D643" s="1944"/>
      <c r="E643" s="473">
        <v>4</v>
      </c>
      <c r="F643" s="472">
        <v>5</v>
      </c>
      <c r="G643" s="471">
        <v>6</v>
      </c>
    </row>
    <row r="644" spans="1:7" x14ac:dyDescent="0.2">
      <c r="A644" s="391" t="s">
        <v>720</v>
      </c>
      <c r="B644" s="391" t="s">
        <v>314</v>
      </c>
      <c r="C644" s="433"/>
      <c r="D644" s="466"/>
      <c r="E644" s="222"/>
      <c r="F644" s="222"/>
      <c r="G644" s="242"/>
    </row>
    <row r="645" spans="1:7" x14ac:dyDescent="0.2">
      <c r="A645" s="391" t="s">
        <v>721</v>
      </c>
      <c r="B645" s="391" t="s">
        <v>683</v>
      </c>
      <c r="C645" s="500"/>
      <c r="D645" s="508"/>
      <c r="E645" s="369"/>
      <c r="F645" s="369"/>
      <c r="G645" s="242"/>
    </row>
    <row r="646" spans="1:7" ht="30" customHeight="1" x14ac:dyDescent="0.2">
      <c r="A646" s="391" t="s">
        <v>739</v>
      </c>
      <c r="B646" s="369" t="s">
        <v>681</v>
      </c>
      <c r="C646" s="500"/>
      <c r="D646" s="508"/>
      <c r="E646" s="369"/>
      <c r="F646" s="369"/>
      <c r="G646" s="242"/>
    </row>
    <row r="647" spans="1:7" x14ac:dyDescent="0.2">
      <c r="A647" s="391"/>
      <c r="B647" s="217" t="s">
        <v>2779</v>
      </c>
      <c r="C647" s="419">
        <v>6</v>
      </c>
      <c r="D647" s="420" t="s">
        <v>89</v>
      </c>
      <c r="E647" s="464">
        <v>70000</v>
      </c>
      <c r="F647" s="422">
        <f>E647*C647</f>
        <v>420000</v>
      </c>
      <c r="G647" s="242"/>
    </row>
    <row r="648" spans="1:7" x14ac:dyDescent="0.2">
      <c r="A648" s="257"/>
      <c r="B648" s="242" t="s">
        <v>2908</v>
      </c>
      <c r="C648" s="419">
        <v>190</v>
      </c>
      <c r="D648" s="420" t="s">
        <v>110</v>
      </c>
      <c r="E648" s="464">
        <v>6000</v>
      </c>
      <c r="F648" s="422">
        <f>E648*C648</f>
        <v>1140000</v>
      </c>
      <c r="G648" s="242"/>
    </row>
    <row r="649" spans="1:7" x14ac:dyDescent="0.2">
      <c r="A649" s="200"/>
      <c r="B649" s="242" t="s">
        <v>2909</v>
      </c>
      <c r="C649" s="205">
        <v>190</v>
      </c>
      <c r="D649" s="206" t="s">
        <v>110</v>
      </c>
      <c r="E649" s="175">
        <v>3600</v>
      </c>
      <c r="F649" s="422">
        <f>E649*C649</f>
        <v>684000</v>
      </c>
      <c r="G649" s="242"/>
    </row>
    <row r="650" spans="1:7" x14ac:dyDescent="0.2">
      <c r="A650" s="200"/>
      <c r="B650" s="465"/>
      <c r="C650" s="205"/>
      <c r="D650" s="206"/>
      <c r="E650" s="175"/>
      <c r="F650" s="422"/>
      <c r="G650" s="242"/>
    </row>
    <row r="651" spans="1:7" ht="24" x14ac:dyDescent="0.2">
      <c r="A651" s="391" t="s">
        <v>722</v>
      </c>
      <c r="B651" s="465" t="s">
        <v>317</v>
      </c>
      <c r="C651" s="205"/>
      <c r="D651" s="206"/>
      <c r="E651" s="175"/>
      <c r="F651" s="422"/>
      <c r="G651" s="242"/>
    </row>
    <row r="652" spans="1:7" ht="36" customHeight="1" x14ac:dyDescent="0.2">
      <c r="A652" s="200"/>
      <c r="B652" s="465" t="s">
        <v>2910</v>
      </c>
      <c r="C652" s="205">
        <f>47*4*4</f>
        <v>752</v>
      </c>
      <c r="D652" s="206" t="s">
        <v>279</v>
      </c>
      <c r="E652" s="175">
        <v>15000</v>
      </c>
      <c r="F652" s="422">
        <f>E652*C652</f>
        <v>11280000</v>
      </c>
      <c r="G652" s="242"/>
    </row>
    <row r="653" spans="1:7" ht="36" x14ac:dyDescent="0.2">
      <c r="A653" s="200"/>
      <c r="B653" s="465" t="s">
        <v>2911</v>
      </c>
      <c r="C653" s="205">
        <f>37*4</f>
        <v>148</v>
      </c>
      <c r="D653" s="206" t="s">
        <v>279</v>
      </c>
      <c r="E653" s="175">
        <v>15000</v>
      </c>
      <c r="F653" s="422">
        <f>E653*C653</f>
        <v>2220000</v>
      </c>
      <c r="G653" s="242"/>
    </row>
    <row r="654" spans="1:7" x14ac:dyDescent="0.2">
      <c r="A654" s="200"/>
      <c r="B654" s="465"/>
      <c r="C654" s="205"/>
      <c r="D654" s="206"/>
      <c r="E654" s="175"/>
      <c r="F654" s="422"/>
      <c r="G654" s="242"/>
    </row>
    <row r="655" spans="1:7" ht="33" customHeight="1" x14ac:dyDescent="0.2">
      <c r="A655" s="391" t="s">
        <v>724</v>
      </c>
      <c r="B655" s="213" t="s">
        <v>677</v>
      </c>
      <c r="C655" s="433"/>
      <c r="D655" s="466"/>
      <c r="E655" s="222"/>
      <c r="F655" s="422"/>
      <c r="G655" s="242"/>
    </row>
    <row r="656" spans="1:7" x14ac:dyDescent="0.2">
      <c r="A656" s="222"/>
      <c r="B656" s="217" t="s">
        <v>417</v>
      </c>
      <c r="C656" s="214">
        <v>1</v>
      </c>
      <c r="D656" s="407" t="s">
        <v>418</v>
      </c>
      <c r="E656" s="215">
        <v>90000</v>
      </c>
      <c r="F656" s="422">
        <f>E656*C656</f>
        <v>90000</v>
      </c>
      <c r="G656" s="242"/>
    </row>
    <row r="657" spans="1:11" x14ac:dyDescent="0.2">
      <c r="A657" s="509"/>
      <c r="B657" s="258"/>
      <c r="C657" s="208"/>
      <c r="D657" s="510"/>
      <c r="E657" s="487"/>
      <c r="F657" s="511"/>
      <c r="G657" s="242"/>
    </row>
    <row r="658" spans="1:11" x14ac:dyDescent="0.2">
      <c r="A658" s="222"/>
      <c r="B658" s="217"/>
      <c r="C658" s="214"/>
      <c r="D658" s="407"/>
      <c r="E658" s="426"/>
      <c r="F658" s="422"/>
      <c r="G658" s="242"/>
    </row>
    <row r="659" spans="1:11" x14ac:dyDescent="0.2">
      <c r="A659" s="391" t="s">
        <v>727</v>
      </c>
      <c r="B659" s="217" t="s">
        <v>304</v>
      </c>
      <c r="C659" s="214"/>
      <c r="D659" s="407"/>
      <c r="E659" s="426"/>
      <c r="F659" s="422"/>
      <c r="G659" s="242"/>
    </row>
    <row r="660" spans="1:11" ht="27" customHeight="1" x14ac:dyDescent="0.2">
      <c r="A660" s="391" t="s">
        <v>728</v>
      </c>
      <c r="B660" s="213" t="s">
        <v>707</v>
      </c>
      <c r="C660" s="214"/>
      <c r="D660" s="407"/>
      <c r="E660" s="426"/>
      <c r="F660" s="422"/>
      <c r="G660" s="242"/>
    </row>
    <row r="661" spans="1:11" x14ac:dyDescent="0.2">
      <c r="A661" s="222"/>
      <c r="B661" s="217" t="s">
        <v>2913</v>
      </c>
      <c r="C661" s="214">
        <f>3*16</f>
        <v>48</v>
      </c>
      <c r="D661" s="407" t="s">
        <v>419</v>
      </c>
      <c r="E661" s="426">
        <v>300000</v>
      </c>
      <c r="F661" s="422">
        <f>E661*C661</f>
        <v>14400000</v>
      </c>
      <c r="G661" s="242"/>
    </row>
    <row r="662" spans="1:11" x14ac:dyDescent="0.2">
      <c r="A662" s="391" t="s">
        <v>1810</v>
      </c>
      <c r="B662" s="217" t="s">
        <v>2914</v>
      </c>
      <c r="C662" s="214"/>
      <c r="D662" s="407"/>
      <c r="E662" s="426"/>
      <c r="F662" s="422"/>
      <c r="G662" s="242"/>
    </row>
    <row r="663" spans="1:11" x14ac:dyDescent="0.2">
      <c r="A663" s="391" t="s">
        <v>2915</v>
      </c>
      <c r="B663" s="217" t="s">
        <v>2916</v>
      </c>
      <c r="C663" s="214">
        <f>190*4</f>
        <v>760</v>
      </c>
      <c r="D663" s="407" t="s">
        <v>279</v>
      </c>
      <c r="E663" s="426">
        <v>50000</v>
      </c>
      <c r="F663" s="422">
        <f>E663*C663</f>
        <v>38000000</v>
      </c>
      <c r="G663" s="242"/>
    </row>
    <row r="664" spans="1:11" x14ac:dyDescent="0.2">
      <c r="A664" s="222"/>
      <c r="B664" s="217"/>
      <c r="C664" s="214"/>
      <c r="D664" s="407"/>
      <c r="E664" s="426"/>
      <c r="F664" s="422"/>
      <c r="G664" s="242"/>
    </row>
    <row r="665" spans="1:11" x14ac:dyDescent="0.2">
      <c r="A665" s="222"/>
      <c r="B665" s="217"/>
      <c r="C665" s="214"/>
      <c r="D665" s="244"/>
      <c r="E665" s="199"/>
      <c r="F665" s="199"/>
      <c r="G665" s="242"/>
    </row>
    <row r="666" spans="1:11" x14ac:dyDescent="0.2">
      <c r="A666" s="2009" t="s">
        <v>26</v>
      </c>
      <c r="B666" s="2009"/>
      <c r="C666" s="512"/>
      <c r="D666" s="513"/>
      <c r="E666" s="463"/>
      <c r="F666" s="514">
        <f>SUM(F644:F665)</f>
        <v>68234000</v>
      </c>
      <c r="G666" s="242" t="s">
        <v>1409</v>
      </c>
      <c r="J666" s="637"/>
      <c r="K666" s="637">
        <f>F666</f>
        <v>68234000</v>
      </c>
    </row>
    <row r="667" spans="1:11" x14ac:dyDescent="0.2">
      <c r="A667" s="1762" t="s">
        <v>549</v>
      </c>
      <c r="B667" s="1762"/>
      <c r="C667" s="188" t="s">
        <v>27</v>
      </c>
      <c r="D667" s="1763" t="s">
        <v>1429</v>
      </c>
      <c r="E667" s="1763"/>
      <c r="F667" s="1763"/>
      <c r="G667" s="188"/>
    </row>
    <row r="668" spans="1:11" x14ac:dyDescent="0.2">
      <c r="A668" s="1762" t="s">
        <v>28</v>
      </c>
      <c r="B668" s="1762"/>
      <c r="C668" s="188"/>
      <c r="D668" s="1764" t="s">
        <v>2833</v>
      </c>
      <c r="E668" s="1764"/>
      <c r="F668" s="1764"/>
      <c r="G668" s="188"/>
    </row>
    <row r="669" spans="1:11" x14ac:dyDescent="0.2">
      <c r="A669" s="186"/>
      <c r="B669" s="187"/>
      <c r="C669" s="188"/>
      <c r="D669" s="189"/>
      <c r="E669" s="218"/>
      <c r="F669" s="218"/>
      <c r="G669" s="188"/>
    </row>
    <row r="670" spans="1:11" x14ac:dyDescent="0.2">
      <c r="A670" s="186"/>
      <c r="B670" s="187"/>
      <c r="C670" s="188"/>
      <c r="D670" s="189"/>
      <c r="E670" s="218"/>
      <c r="F670" s="218"/>
      <c r="G670" s="188"/>
    </row>
    <row r="671" spans="1:11" x14ac:dyDescent="0.2">
      <c r="A671" s="1762"/>
      <c r="B671" s="1762"/>
      <c r="C671" s="188"/>
      <c r="D671" s="189"/>
      <c r="E671" s="1762"/>
      <c r="F671" s="1762"/>
      <c r="G671" s="188"/>
    </row>
    <row r="672" spans="1:11" x14ac:dyDescent="0.2">
      <c r="A672" s="1762" t="s">
        <v>29</v>
      </c>
      <c r="B672" s="1762"/>
      <c r="C672" s="188"/>
      <c r="D672" s="1762" t="s">
        <v>2954</v>
      </c>
      <c r="E672" s="1762"/>
      <c r="F672" s="1762"/>
      <c r="G672" s="188"/>
    </row>
    <row r="673" spans="1:7" x14ac:dyDescent="0.2">
      <c r="A673" s="1765" t="s">
        <v>0</v>
      </c>
      <c r="B673" s="1765"/>
      <c r="C673" s="1765"/>
      <c r="D673" s="1765"/>
      <c r="E673" s="1765"/>
      <c r="F673" s="1765"/>
      <c r="G673" s="185"/>
    </row>
    <row r="674" spans="1:7" x14ac:dyDescent="0.2">
      <c r="A674" s="1765" t="s">
        <v>1</v>
      </c>
      <c r="B674" s="1765"/>
      <c r="C674" s="1765"/>
      <c r="D674" s="1765"/>
      <c r="E674" s="1765"/>
      <c r="F674" s="1765"/>
      <c r="G674" s="185"/>
    </row>
    <row r="675" spans="1:7" x14ac:dyDescent="0.2">
      <c r="A675" s="1765" t="s">
        <v>1769</v>
      </c>
      <c r="B675" s="1765"/>
      <c r="C675" s="1765"/>
      <c r="D675" s="1765"/>
      <c r="E675" s="1765"/>
      <c r="F675" s="1765"/>
      <c r="G675" s="185"/>
    </row>
    <row r="676" spans="1:7" x14ac:dyDescent="0.2">
      <c r="A676" s="185" t="s">
        <v>690</v>
      </c>
      <c r="B676" s="185" t="s">
        <v>689</v>
      </c>
      <c r="C676" s="185"/>
      <c r="D676" s="185"/>
      <c r="E676" s="227" t="s">
        <v>6</v>
      </c>
      <c r="F676" s="227" t="s">
        <v>63</v>
      </c>
      <c r="G676" s="185"/>
    </row>
    <row r="677" spans="1:7" x14ac:dyDescent="0.2">
      <c r="A677" s="385" t="s">
        <v>247</v>
      </c>
      <c r="B677" s="385" t="s">
        <v>688</v>
      </c>
      <c r="C677" s="385"/>
      <c r="D677" s="184"/>
      <c r="E677" s="193" t="s">
        <v>9</v>
      </c>
      <c r="F677" s="193" t="s">
        <v>63</v>
      </c>
      <c r="G677" s="185"/>
    </row>
    <row r="678" spans="1:7" ht="48" x14ac:dyDescent="0.2">
      <c r="A678" s="507" t="s">
        <v>687</v>
      </c>
      <c r="B678" s="386" t="s">
        <v>740</v>
      </c>
      <c r="C678" s="385"/>
      <c r="D678" s="184"/>
      <c r="E678" s="468"/>
      <c r="F678" s="385"/>
      <c r="G678" s="185"/>
    </row>
    <row r="679" spans="1:7" x14ac:dyDescent="0.2">
      <c r="A679" s="185" t="s">
        <v>521</v>
      </c>
      <c r="B679" s="185" t="s">
        <v>546</v>
      </c>
      <c r="C679" s="185"/>
      <c r="D679" s="185"/>
      <c r="E679" s="185"/>
      <c r="F679" s="185"/>
      <c r="G679" s="185"/>
    </row>
    <row r="680" spans="1:7" x14ac:dyDescent="0.2">
      <c r="A680" s="1893" t="s">
        <v>503</v>
      </c>
      <c r="B680" s="1893"/>
      <c r="C680" s="185"/>
      <c r="D680" s="385"/>
      <c r="E680" s="431"/>
      <c r="F680" s="185"/>
      <c r="G680" s="185"/>
    </row>
    <row r="682" spans="1:7" ht="24" x14ac:dyDescent="0.2">
      <c r="A682" s="469" t="s">
        <v>547</v>
      </c>
      <c r="B682" s="469" t="s">
        <v>11</v>
      </c>
      <c r="C682" s="1954" t="s">
        <v>12</v>
      </c>
      <c r="D682" s="1955"/>
      <c r="E682" s="470" t="s">
        <v>13</v>
      </c>
      <c r="F682" s="479" t="s">
        <v>14</v>
      </c>
      <c r="G682" s="471" t="s">
        <v>266</v>
      </c>
    </row>
    <row r="683" spans="1:7" x14ac:dyDescent="0.2">
      <c r="A683" s="472">
        <v>1</v>
      </c>
      <c r="B683" s="472">
        <v>2</v>
      </c>
      <c r="C683" s="1943">
        <v>3</v>
      </c>
      <c r="D683" s="1944"/>
      <c r="E683" s="473">
        <v>4</v>
      </c>
      <c r="F683" s="392">
        <v>5</v>
      </c>
      <c r="G683" s="471">
        <v>6</v>
      </c>
    </row>
    <row r="684" spans="1:7" x14ac:dyDescent="0.2">
      <c r="A684" s="391" t="s">
        <v>720</v>
      </c>
      <c r="B684" s="515" t="s">
        <v>287</v>
      </c>
      <c r="C684" s="474"/>
      <c r="D684" s="475"/>
      <c r="E684" s="476"/>
      <c r="F684" s="516"/>
      <c r="G684" s="242"/>
    </row>
    <row r="685" spans="1:7" x14ac:dyDescent="0.2">
      <c r="A685" s="391" t="s">
        <v>721</v>
      </c>
      <c r="B685" s="515" t="s">
        <v>86</v>
      </c>
      <c r="C685" s="474"/>
      <c r="D685" s="475"/>
      <c r="E685" s="476"/>
      <c r="F685" s="516"/>
      <c r="G685" s="242"/>
    </row>
    <row r="686" spans="1:7" ht="24" x14ac:dyDescent="0.2">
      <c r="A686" s="391" t="s">
        <v>739</v>
      </c>
      <c r="B686" s="515" t="s">
        <v>738</v>
      </c>
      <c r="C686" s="474"/>
      <c r="D686" s="475"/>
      <c r="E686" s="476"/>
      <c r="F686" s="516"/>
      <c r="G686" s="242"/>
    </row>
    <row r="687" spans="1:7" x14ac:dyDescent="0.2">
      <c r="A687" s="242"/>
      <c r="B687" s="463" t="s">
        <v>2779</v>
      </c>
      <c r="C687" s="214">
        <v>1</v>
      </c>
      <c r="D687" s="407" t="s">
        <v>89</v>
      </c>
      <c r="E687" s="215">
        <v>70000</v>
      </c>
      <c r="F687" s="516">
        <f>E687*C687</f>
        <v>70000</v>
      </c>
      <c r="G687" s="242"/>
    </row>
    <row r="688" spans="1:7" x14ac:dyDescent="0.2">
      <c r="A688" s="242"/>
      <c r="B688" s="217" t="s">
        <v>1260</v>
      </c>
      <c r="C688" s="214">
        <v>300</v>
      </c>
      <c r="D688" s="407" t="s">
        <v>276</v>
      </c>
      <c r="E688" s="215">
        <v>400</v>
      </c>
      <c r="F688" s="516">
        <f>E688*C688</f>
        <v>120000</v>
      </c>
      <c r="G688" s="242"/>
    </row>
    <row r="689" spans="1:8" x14ac:dyDescent="0.2">
      <c r="A689" s="1507"/>
      <c r="B689" s="1356" t="s">
        <v>737</v>
      </c>
      <c r="C689" s="1431">
        <v>233</v>
      </c>
      <c r="D689" s="1505" t="s">
        <v>276</v>
      </c>
      <c r="E689" s="1357">
        <v>4500</v>
      </c>
      <c r="F689" s="1534">
        <f>E689*C689</f>
        <v>1048500</v>
      </c>
      <c r="G689" s="1507"/>
    </row>
    <row r="690" spans="1:8" x14ac:dyDescent="0.2">
      <c r="A690" s="242"/>
      <c r="B690" s="217"/>
      <c r="C690" s="214"/>
      <c r="D690" s="407"/>
      <c r="E690" s="215"/>
      <c r="F690" s="516"/>
      <c r="G690" s="242"/>
    </row>
    <row r="691" spans="1:8" ht="24" x14ac:dyDescent="0.2">
      <c r="A691" s="391" t="s">
        <v>722</v>
      </c>
      <c r="B691" s="213" t="s">
        <v>317</v>
      </c>
      <c r="C691" s="214"/>
      <c r="D691" s="407"/>
      <c r="E691" s="215"/>
      <c r="F691" s="516"/>
      <c r="G691" s="242"/>
    </row>
    <row r="692" spans="1:8" x14ac:dyDescent="0.2">
      <c r="A692" s="1507"/>
      <c r="B692" s="1502" t="s">
        <v>2995</v>
      </c>
      <c r="C692" s="1431">
        <v>30</v>
      </c>
      <c r="D692" s="1505" t="s">
        <v>507</v>
      </c>
      <c r="E692" s="1357">
        <v>15000</v>
      </c>
      <c r="F692" s="1534">
        <f>E692*C692</f>
        <v>450000</v>
      </c>
      <c r="G692" s="1507"/>
      <c r="H692" s="444">
        <v>130</v>
      </c>
    </row>
    <row r="693" spans="1:8" ht="24" x14ac:dyDescent="0.2">
      <c r="A693" s="1531"/>
      <c r="B693" s="1356" t="s">
        <v>2996</v>
      </c>
      <c r="C693" s="1431">
        <v>100</v>
      </c>
      <c r="D693" s="1505" t="s">
        <v>507</v>
      </c>
      <c r="E693" s="1357">
        <v>15000</v>
      </c>
      <c r="F693" s="1508">
        <f>E693*C693</f>
        <v>1500000</v>
      </c>
      <c r="G693" s="1507"/>
    </row>
    <row r="694" spans="1:8" x14ac:dyDescent="0.2">
      <c r="A694" s="474"/>
      <c r="B694" s="217"/>
      <c r="C694" s="214"/>
      <c r="D694" s="407"/>
      <c r="E694" s="215"/>
      <c r="F694" s="477"/>
      <c r="G694" s="242"/>
      <c r="H694" s="444">
        <f>H692-C692</f>
        <v>100</v>
      </c>
    </row>
    <row r="695" spans="1:8" ht="24" x14ac:dyDescent="0.2">
      <c r="A695" s="391" t="s">
        <v>724</v>
      </c>
      <c r="B695" s="213" t="s">
        <v>337</v>
      </c>
      <c r="C695" s="214"/>
      <c r="D695" s="407"/>
      <c r="E695" s="215"/>
      <c r="G695" s="242"/>
      <c r="H695" s="444">
        <f>H694*E692</f>
        <v>1500000</v>
      </c>
    </row>
    <row r="696" spans="1:8" x14ac:dyDescent="0.2">
      <c r="A696" s="1531"/>
      <c r="B696" s="1502" t="s">
        <v>338</v>
      </c>
      <c r="C696" s="1431">
        <v>1</v>
      </c>
      <c r="D696" s="1505" t="s">
        <v>95</v>
      </c>
      <c r="E696" s="1357">
        <v>91500</v>
      </c>
      <c r="F696" s="1534">
        <f>E696*C696</f>
        <v>91500</v>
      </c>
      <c r="G696" s="1507"/>
    </row>
    <row r="697" spans="1:8" x14ac:dyDescent="0.2">
      <c r="A697" s="474"/>
      <c r="B697" s="217"/>
      <c r="C697" s="214"/>
      <c r="D697" s="407"/>
      <c r="E697" s="215"/>
      <c r="F697" s="516"/>
      <c r="G697" s="242"/>
    </row>
    <row r="698" spans="1:8" x14ac:dyDescent="0.2">
      <c r="A698" s="391" t="s">
        <v>727</v>
      </c>
      <c r="B698" s="463" t="s">
        <v>304</v>
      </c>
      <c r="C698" s="214"/>
      <c r="D698" s="407"/>
      <c r="E698" s="215"/>
      <c r="F698" s="516"/>
      <c r="G698" s="242"/>
    </row>
    <row r="699" spans="1:8" ht="36" x14ac:dyDescent="0.2">
      <c r="A699" s="391" t="s">
        <v>730</v>
      </c>
      <c r="B699" s="213" t="s">
        <v>718</v>
      </c>
      <c r="C699" s="214"/>
      <c r="D699" s="407"/>
      <c r="E699" s="215"/>
      <c r="F699" s="516"/>
      <c r="G699" s="242"/>
    </row>
    <row r="700" spans="1:8" x14ac:dyDescent="0.2">
      <c r="A700" s="474"/>
      <c r="B700" s="213" t="s">
        <v>429</v>
      </c>
      <c r="C700" s="214">
        <v>1</v>
      </c>
      <c r="D700" s="407" t="s">
        <v>279</v>
      </c>
      <c r="E700" s="215">
        <v>300000</v>
      </c>
      <c r="F700" s="516">
        <f>E700*C700</f>
        <v>300000</v>
      </c>
      <c r="G700" s="242"/>
    </row>
    <row r="701" spans="1:8" x14ac:dyDescent="0.2">
      <c r="A701" s="474"/>
      <c r="B701" s="213" t="s">
        <v>535</v>
      </c>
      <c r="C701" s="214">
        <v>1</v>
      </c>
      <c r="D701" s="407" t="s">
        <v>279</v>
      </c>
      <c r="E701" s="215">
        <v>250000</v>
      </c>
      <c r="F701" s="516">
        <f>E701*C701</f>
        <v>250000</v>
      </c>
      <c r="G701" s="242"/>
    </row>
    <row r="702" spans="1:8" x14ac:dyDescent="0.2">
      <c r="A702" s="474"/>
      <c r="B702" s="213" t="s">
        <v>518</v>
      </c>
      <c r="C702" s="214">
        <v>3</v>
      </c>
      <c r="D702" s="407" t="s">
        <v>279</v>
      </c>
      <c r="E702" s="215">
        <v>200000</v>
      </c>
      <c r="F702" s="516">
        <f>E702*C702</f>
        <v>600000</v>
      </c>
      <c r="G702" s="242"/>
    </row>
    <row r="703" spans="1:8" x14ac:dyDescent="0.2">
      <c r="A703" s="474"/>
      <c r="B703" s="213"/>
      <c r="C703" s="214"/>
      <c r="D703" s="407"/>
      <c r="E703" s="215"/>
      <c r="F703" s="516"/>
      <c r="G703" s="242"/>
    </row>
    <row r="704" spans="1:8" ht="48" x14ac:dyDescent="0.2">
      <c r="A704" s="391" t="s">
        <v>728</v>
      </c>
      <c r="B704" s="213" t="s">
        <v>707</v>
      </c>
      <c r="C704" s="214"/>
      <c r="D704" s="407"/>
      <c r="E704" s="215"/>
      <c r="F704" s="516"/>
      <c r="G704" s="242"/>
    </row>
    <row r="705" spans="1:20" x14ac:dyDescent="0.2">
      <c r="A705" s="242"/>
      <c r="B705" s="217" t="s">
        <v>736</v>
      </c>
      <c r="C705" s="214">
        <v>2</v>
      </c>
      <c r="D705" s="407" t="s">
        <v>279</v>
      </c>
      <c r="E705" s="215">
        <v>300000</v>
      </c>
      <c r="F705" s="516">
        <f>E705*C705</f>
        <v>600000</v>
      </c>
      <c r="G705" s="242"/>
    </row>
    <row r="706" spans="1:20" x14ac:dyDescent="0.2">
      <c r="A706" s="474"/>
      <c r="B706" s="217" t="s">
        <v>760</v>
      </c>
      <c r="C706" s="214">
        <v>1</v>
      </c>
      <c r="D706" s="407" t="s">
        <v>279</v>
      </c>
      <c r="E706" s="215">
        <v>200000</v>
      </c>
      <c r="F706" s="516">
        <v>200000</v>
      </c>
      <c r="G706" s="242"/>
    </row>
    <row r="707" spans="1:20" x14ac:dyDescent="0.2">
      <c r="A707" s="474"/>
      <c r="B707" s="217"/>
      <c r="C707" s="214"/>
      <c r="D707" s="407"/>
      <c r="E707" s="215"/>
      <c r="F707" s="516"/>
      <c r="G707" s="242"/>
    </row>
    <row r="708" spans="1:20" x14ac:dyDescent="0.2">
      <c r="A708" s="242" t="s">
        <v>735</v>
      </c>
      <c r="B708" s="249" t="s">
        <v>471</v>
      </c>
      <c r="C708" s="214"/>
      <c r="D708" s="407"/>
      <c r="E708" s="215"/>
      <c r="F708" s="516"/>
      <c r="G708" s="242"/>
    </row>
    <row r="709" spans="1:20" ht="24" x14ac:dyDescent="0.2">
      <c r="A709" s="242" t="s">
        <v>734</v>
      </c>
      <c r="B709" s="454" t="s">
        <v>733</v>
      </c>
      <c r="C709" s="214"/>
      <c r="D709" s="407"/>
      <c r="E709" s="215"/>
      <c r="F709" s="516"/>
      <c r="G709" s="242"/>
    </row>
    <row r="710" spans="1:20" x14ac:dyDescent="0.2">
      <c r="A710" s="242"/>
      <c r="B710" s="249" t="s">
        <v>732</v>
      </c>
      <c r="C710" s="214">
        <v>1</v>
      </c>
      <c r="D710" s="407" t="s">
        <v>131</v>
      </c>
      <c r="E710" s="215">
        <v>1000000</v>
      </c>
      <c r="F710" s="516">
        <f>E710*C710</f>
        <v>1000000</v>
      </c>
      <c r="G710" s="242"/>
    </row>
    <row r="711" spans="1:20" x14ac:dyDescent="0.2">
      <c r="A711" s="242"/>
      <c r="B711" s="249" t="s">
        <v>1032</v>
      </c>
      <c r="C711" s="214">
        <v>1</v>
      </c>
      <c r="D711" s="407" t="s">
        <v>131</v>
      </c>
      <c r="E711" s="215">
        <v>1000000</v>
      </c>
      <c r="F711" s="516">
        <f>E711*C711</f>
        <v>1000000</v>
      </c>
      <c r="G711" s="242"/>
    </row>
    <row r="712" spans="1:20" x14ac:dyDescent="0.2">
      <c r="A712" s="1507"/>
      <c r="B712" s="1585" t="s">
        <v>1442</v>
      </c>
      <c r="C712" s="1431">
        <v>1</v>
      </c>
      <c r="D712" s="1505" t="s">
        <v>131</v>
      </c>
      <c r="E712" s="1357">
        <v>9950000</v>
      </c>
      <c r="F712" s="1534">
        <f>E712*C712</f>
        <v>9950000</v>
      </c>
      <c r="G712" s="1507"/>
      <c r="H712" s="1557">
        <v>9950000</v>
      </c>
    </row>
    <row r="713" spans="1:20" x14ac:dyDescent="0.2">
      <c r="A713" s="242"/>
      <c r="B713" s="517"/>
      <c r="C713" s="518"/>
      <c r="D713" s="519"/>
      <c r="E713" s="520"/>
      <c r="F713" s="521"/>
      <c r="G713" s="242"/>
      <c r="H713" s="457">
        <f>H712-F712</f>
        <v>0</v>
      </c>
    </row>
    <row r="714" spans="1:20" ht="24" x14ac:dyDescent="0.2">
      <c r="A714" s="242"/>
      <c r="B714" s="1997" t="s">
        <v>26</v>
      </c>
      <c r="C714" s="1997"/>
      <c r="D714" s="1997"/>
      <c r="E714" s="1997"/>
      <c r="F714" s="477">
        <f>SUM(F686:F713)</f>
        <v>17180000</v>
      </c>
      <c r="G714" s="463" t="s">
        <v>2570</v>
      </c>
      <c r="K714" s="457"/>
      <c r="L714" s="457"/>
      <c r="T714" s="457">
        <f>F714</f>
        <v>17180000</v>
      </c>
    </row>
    <row r="716" spans="1:20" x14ac:dyDescent="0.2">
      <c r="A716" s="1762" t="s">
        <v>549</v>
      </c>
      <c r="B716" s="1762"/>
      <c r="C716" s="188" t="s">
        <v>27</v>
      </c>
      <c r="D716" s="1763" t="s">
        <v>1429</v>
      </c>
      <c r="E716" s="1763"/>
      <c r="F716" s="1763"/>
      <c r="G716" s="188"/>
    </row>
    <row r="717" spans="1:20" x14ac:dyDescent="0.2">
      <c r="A717" s="1762" t="s">
        <v>28</v>
      </c>
      <c r="B717" s="1762"/>
      <c r="C717" s="188"/>
      <c r="D717" s="1764" t="s">
        <v>2833</v>
      </c>
      <c r="E717" s="1764"/>
      <c r="F717" s="1764"/>
      <c r="G717" s="188"/>
    </row>
    <row r="718" spans="1:20" x14ac:dyDescent="0.2">
      <c r="A718" s="186"/>
      <c r="B718" s="187"/>
      <c r="C718" s="188"/>
      <c r="D718" s="189"/>
      <c r="E718" s="218"/>
      <c r="F718" s="218"/>
      <c r="G718" s="188"/>
    </row>
    <row r="719" spans="1:20" x14ac:dyDescent="0.2">
      <c r="A719" s="186"/>
      <c r="B719" s="187"/>
      <c r="C719" s="188"/>
      <c r="D719" s="189"/>
      <c r="E719" s="218"/>
      <c r="F719" s="1761">
        <v>17180000</v>
      </c>
      <c r="G719" s="188"/>
    </row>
    <row r="720" spans="1:20" x14ac:dyDescent="0.2">
      <c r="A720" s="1762"/>
      <c r="B720" s="1762"/>
      <c r="C720" s="188"/>
      <c r="D720" s="189"/>
      <c r="E720" s="1953">
        <f>F714-F719</f>
        <v>0</v>
      </c>
      <c r="F720" s="1762"/>
      <c r="G720" s="188"/>
    </row>
    <row r="721" spans="1:7" x14ac:dyDescent="0.2">
      <c r="A721" s="1762" t="s">
        <v>29</v>
      </c>
      <c r="B721" s="1762"/>
      <c r="C721" s="188"/>
      <c r="D721" s="1762" t="s">
        <v>2954</v>
      </c>
      <c r="E721" s="1762"/>
      <c r="F721" s="1762"/>
      <c r="G721" s="188"/>
    </row>
    <row r="723" spans="1:7" x14ac:dyDescent="0.2">
      <c r="A723" s="1765" t="s">
        <v>0</v>
      </c>
      <c r="B723" s="1765"/>
      <c r="C723" s="1765"/>
      <c r="D723" s="1765"/>
      <c r="E723" s="1765"/>
      <c r="F723" s="1765"/>
      <c r="G723" s="1765"/>
    </row>
    <row r="724" spans="1:7" x14ac:dyDescent="0.2">
      <c r="A724" s="1765" t="s">
        <v>1</v>
      </c>
      <c r="B724" s="1765"/>
      <c r="C724" s="1765"/>
      <c r="D724" s="1765"/>
      <c r="E724" s="1765"/>
      <c r="F724" s="1765"/>
      <c r="G724" s="1765"/>
    </row>
    <row r="725" spans="1:7" x14ac:dyDescent="0.2">
      <c r="A725" s="1765" t="s">
        <v>1769</v>
      </c>
      <c r="B725" s="1765"/>
      <c r="C725" s="1765"/>
      <c r="D725" s="1765"/>
      <c r="E725" s="1765"/>
      <c r="F725" s="1765"/>
      <c r="G725" s="1765"/>
    </row>
    <row r="726" spans="1:7" x14ac:dyDescent="0.2">
      <c r="A726" s="184"/>
      <c r="B726" s="184"/>
      <c r="C726" s="185"/>
      <c r="D726" s="185"/>
      <c r="E726" s="185"/>
      <c r="F726" s="185"/>
    </row>
    <row r="727" spans="1:7" x14ac:dyDescent="0.2">
      <c r="A727" s="185" t="s">
        <v>690</v>
      </c>
      <c r="B727" s="185" t="s">
        <v>689</v>
      </c>
      <c r="C727" s="185"/>
      <c r="D727" s="185"/>
      <c r="E727" s="185"/>
      <c r="F727" s="227" t="s">
        <v>6</v>
      </c>
    </row>
    <row r="728" spans="1:7" x14ac:dyDescent="0.2">
      <c r="A728" s="385" t="s">
        <v>247</v>
      </c>
      <c r="B728" s="385" t="s">
        <v>688</v>
      </c>
      <c r="C728" s="185"/>
      <c r="D728" s="185"/>
      <c r="E728" s="185"/>
      <c r="F728" s="193" t="s">
        <v>515</v>
      </c>
    </row>
    <row r="729" spans="1:7" ht="28.5" customHeight="1" x14ac:dyDescent="0.2">
      <c r="A729" s="385" t="s">
        <v>687</v>
      </c>
      <c r="B729" s="386" t="s">
        <v>757</v>
      </c>
      <c r="C729" s="185"/>
      <c r="D729" s="185"/>
      <c r="E729" s="185"/>
      <c r="F729" s="185"/>
    </row>
    <row r="730" spans="1:7" x14ac:dyDescent="0.2">
      <c r="A730" s="185" t="s">
        <v>521</v>
      </c>
      <c r="B730" s="185" t="s">
        <v>546</v>
      </c>
      <c r="C730" s="185"/>
      <c r="D730" s="185"/>
      <c r="E730" s="185"/>
      <c r="F730" s="185"/>
    </row>
    <row r="731" spans="1:7" x14ac:dyDescent="0.2">
      <c r="A731" s="1893" t="s">
        <v>503</v>
      </c>
      <c r="B731" s="1893"/>
      <c r="C731" s="185"/>
      <c r="D731" s="185"/>
      <c r="E731" s="185"/>
      <c r="F731" s="185"/>
    </row>
    <row r="732" spans="1:7" ht="24" x14ac:dyDescent="0.2">
      <c r="A732" s="469" t="s">
        <v>547</v>
      </c>
      <c r="B732" s="469" t="s">
        <v>11</v>
      </c>
      <c r="C732" s="1954" t="s">
        <v>12</v>
      </c>
      <c r="D732" s="1955"/>
      <c r="E732" s="522" t="s">
        <v>13</v>
      </c>
      <c r="F732" s="479" t="s">
        <v>14</v>
      </c>
      <c r="G732" s="471" t="s">
        <v>266</v>
      </c>
    </row>
    <row r="733" spans="1:7" x14ac:dyDescent="0.2">
      <c r="A733" s="472">
        <v>1</v>
      </c>
      <c r="B733" s="472">
        <v>2</v>
      </c>
      <c r="C733" s="1943">
        <v>3</v>
      </c>
      <c r="D733" s="1944"/>
      <c r="E733" s="523">
        <v>4</v>
      </c>
      <c r="F733" s="392">
        <v>5</v>
      </c>
      <c r="G733" s="471">
        <v>6</v>
      </c>
    </row>
    <row r="734" spans="1:7" x14ac:dyDescent="0.2">
      <c r="A734" s="200"/>
      <c r="B734" s="525" t="s">
        <v>754</v>
      </c>
      <c r="C734" s="205"/>
      <c r="D734" s="197"/>
      <c r="E734" s="175"/>
      <c r="F734" s="422"/>
      <c r="G734" s="242"/>
    </row>
    <row r="735" spans="1:7" ht="24" x14ac:dyDescent="0.2">
      <c r="A735" s="391" t="s">
        <v>722</v>
      </c>
      <c r="B735" s="465" t="s">
        <v>317</v>
      </c>
      <c r="C735" s="205"/>
      <c r="D735" s="197"/>
      <c r="E735" s="175"/>
      <c r="F735" s="422"/>
      <c r="G735" s="242"/>
    </row>
    <row r="736" spans="1:7" x14ac:dyDescent="0.2">
      <c r="A736" s="222"/>
      <c r="B736" s="217" t="s">
        <v>2907</v>
      </c>
      <c r="C736" s="214">
        <f>5*12</f>
        <v>60</v>
      </c>
      <c r="D736" s="256" t="s">
        <v>1788</v>
      </c>
      <c r="E736" s="230">
        <v>15000</v>
      </c>
      <c r="F736" s="422">
        <f>C736*E736</f>
        <v>900000</v>
      </c>
      <c r="G736" s="242"/>
    </row>
    <row r="737" spans="1:19" x14ac:dyDescent="0.2">
      <c r="A737" s="222"/>
      <c r="B737" s="217"/>
      <c r="C737" s="214"/>
      <c r="D737" s="256"/>
      <c r="E737" s="230"/>
      <c r="F737" s="422"/>
      <c r="G737" s="242"/>
    </row>
    <row r="738" spans="1:19" x14ac:dyDescent="0.2">
      <c r="A738" s="391" t="s">
        <v>723</v>
      </c>
      <c r="B738" s="217" t="s">
        <v>516</v>
      </c>
      <c r="C738" s="214"/>
      <c r="D738" s="256"/>
      <c r="E738" s="215"/>
      <c r="F738" s="422"/>
      <c r="G738" s="242"/>
    </row>
    <row r="739" spans="1:19" x14ac:dyDescent="0.2">
      <c r="A739" s="222"/>
      <c r="B739" s="217" t="s">
        <v>1789</v>
      </c>
      <c r="C739" s="214">
        <v>6</v>
      </c>
      <c r="D739" s="256" t="s">
        <v>322</v>
      </c>
      <c r="E739" s="215">
        <v>200000</v>
      </c>
      <c r="F739" s="422">
        <f>C739*E739</f>
        <v>1200000</v>
      </c>
      <c r="G739" s="242"/>
    </row>
    <row r="740" spans="1:19" x14ac:dyDescent="0.2">
      <c r="A740" s="222"/>
      <c r="B740" s="217" t="s">
        <v>1790</v>
      </c>
      <c r="C740" s="214">
        <v>6</v>
      </c>
      <c r="D740" s="256" t="s">
        <v>507</v>
      </c>
      <c r="E740" s="215">
        <v>30000</v>
      </c>
      <c r="F740" s="422">
        <f>C740*E740</f>
        <v>180000</v>
      </c>
      <c r="G740" s="242"/>
    </row>
    <row r="741" spans="1:19" ht="27" customHeight="1" x14ac:dyDescent="0.2">
      <c r="A741" s="222" t="s">
        <v>724</v>
      </c>
      <c r="B741" s="213" t="s">
        <v>677</v>
      </c>
      <c r="C741" s="433"/>
      <c r="D741" s="222"/>
      <c r="E741" s="222"/>
      <c r="F741" s="422"/>
      <c r="G741" s="242"/>
    </row>
    <row r="742" spans="1:19" x14ac:dyDescent="0.2">
      <c r="A742" s="222"/>
      <c r="B742" s="217" t="s">
        <v>417</v>
      </c>
      <c r="C742" s="214">
        <v>1</v>
      </c>
      <c r="D742" s="256" t="s">
        <v>418</v>
      </c>
      <c r="E742" s="215">
        <v>90000</v>
      </c>
      <c r="F742" s="422">
        <f>E742*C742</f>
        <v>90000</v>
      </c>
      <c r="G742" s="242"/>
    </row>
    <row r="743" spans="1:19" x14ac:dyDescent="0.2">
      <c r="A743" s="222"/>
      <c r="B743" s="217"/>
      <c r="C743" s="214"/>
      <c r="D743" s="256"/>
      <c r="E743" s="215"/>
      <c r="F743" s="422"/>
      <c r="G743" s="242"/>
    </row>
    <row r="744" spans="1:19" x14ac:dyDescent="0.2">
      <c r="A744" s="222" t="s">
        <v>676</v>
      </c>
      <c r="B744" s="217" t="s">
        <v>304</v>
      </c>
      <c r="C744" s="214"/>
      <c r="D744" s="256"/>
      <c r="E744" s="215"/>
      <c r="F744" s="422"/>
      <c r="G744" s="242"/>
    </row>
    <row r="745" spans="1:19" x14ac:dyDescent="0.2">
      <c r="A745" s="433" t="s">
        <v>691</v>
      </c>
      <c r="B745" s="217" t="s">
        <v>354</v>
      </c>
      <c r="C745" s="214"/>
      <c r="D745" s="256"/>
      <c r="E745" s="215"/>
      <c r="F745" s="422"/>
      <c r="G745" s="242"/>
    </row>
    <row r="746" spans="1:19" ht="36" customHeight="1" x14ac:dyDescent="0.2">
      <c r="A746" s="433"/>
      <c r="B746" s="213" t="s">
        <v>2906</v>
      </c>
      <c r="C746" s="214">
        <f>5*12</f>
        <v>60</v>
      </c>
      <c r="D746" s="256" t="s">
        <v>407</v>
      </c>
      <c r="E746" s="215">
        <v>200000</v>
      </c>
      <c r="F746" s="467">
        <f>E746*C746</f>
        <v>12000000</v>
      </c>
      <c r="G746" s="242"/>
    </row>
    <row r="747" spans="1:19" x14ac:dyDescent="0.2">
      <c r="A747" s="222"/>
      <c r="B747" s="217"/>
      <c r="C747" s="214"/>
      <c r="D747" s="256"/>
      <c r="E747" s="215"/>
      <c r="F747" s="422"/>
      <c r="G747" s="242"/>
    </row>
    <row r="748" spans="1:19" x14ac:dyDescent="0.2">
      <c r="A748" s="433"/>
      <c r="B748" s="526" t="s">
        <v>26</v>
      </c>
      <c r="C748" s="500"/>
      <c r="D748" s="369"/>
      <c r="E748" s="369"/>
      <c r="F748" s="527">
        <f>SUM(F734:F747)</f>
        <v>14370000</v>
      </c>
      <c r="G748" s="242" t="s">
        <v>1409</v>
      </c>
      <c r="K748" s="637">
        <f>F748</f>
        <v>14370000</v>
      </c>
      <c r="S748" s="637"/>
    </row>
    <row r="750" spans="1:19" x14ac:dyDescent="0.2">
      <c r="A750" s="1762" t="s">
        <v>549</v>
      </c>
      <c r="B750" s="1762"/>
      <c r="C750" s="188" t="s">
        <v>27</v>
      </c>
      <c r="D750" s="1763" t="s">
        <v>1429</v>
      </c>
      <c r="E750" s="1763"/>
      <c r="F750" s="1763"/>
      <c r="G750" s="188"/>
    </row>
    <row r="751" spans="1:19" x14ac:dyDescent="0.2">
      <c r="A751" s="1762" t="s">
        <v>28</v>
      </c>
      <c r="B751" s="1762"/>
      <c r="C751" s="188"/>
      <c r="D751" s="1764" t="s">
        <v>2833</v>
      </c>
      <c r="E751" s="1764"/>
      <c r="F751" s="1764"/>
      <c r="G751" s="188"/>
    </row>
    <row r="752" spans="1:19" x14ac:dyDescent="0.2">
      <c r="A752" s="186"/>
      <c r="B752" s="187"/>
      <c r="C752" s="188"/>
      <c r="D752" s="189"/>
      <c r="E752" s="218"/>
      <c r="F752" s="218"/>
      <c r="G752" s="188"/>
    </row>
    <row r="753" spans="1:7" x14ac:dyDescent="0.2">
      <c r="A753" s="186"/>
      <c r="B753" s="187"/>
      <c r="C753" s="188"/>
      <c r="D753" s="189"/>
      <c r="E753" s="218"/>
      <c r="F753" s="218"/>
      <c r="G753" s="188"/>
    </row>
    <row r="754" spans="1:7" x14ac:dyDescent="0.2">
      <c r="A754" s="1762"/>
      <c r="B754" s="1762"/>
      <c r="C754" s="188"/>
      <c r="D754" s="189"/>
      <c r="E754" s="1762"/>
      <c r="F754" s="1762"/>
      <c r="G754" s="188"/>
    </row>
    <row r="755" spans="1:7" x14ac:dyDescent="0.2">
      <c r="A755" s="1762" t="s">
        <v>29</v>
      </c>
      <c r="B755" s="1762"/>
      <c r="C755" s="188"/>
      <c r="D755" s="1762" t="s">
        <v>2954</v>
      </c>
      <c r="E755" s="1762"/>
      <c r="F755" s="1762"/>
      <c r="G755" s="188"/>
    </row>
    <row r="756" spans="1:7" x14ac:dyDescent="0.2">
      <c r="A756" s="1765" t="s">
        <v>0</v>
      </c>
      <c r="B756" s="1765"/>
      <c r="C756" s="1765"/>
      <c r="D756" s="1765"/>
      <c r="E756" s="1765"/>
      <c r="F756" s="1765"/>
      <c r="G756" s="1765"/>
    </row>
    <row r="757" spans="1:7" x14ac:dyDescent="0.2">
      <c r="A757" s="1765" t="s">
        <v>1</v>
      </c>
      <c r="B757" s="1765"/>
      <c r="C757" s="1765"/>
      <c r="D757" s="1765"/>
      <c r="E757" s="1765"/>
      <c r="F757" s="1765"/>
      <c r="G757" s="1765"/>
    </row>
    <row r="758" spans="1:7" x14ac:dyDescent="0.2">
      <c r="A758" s="1765" t="s">
        <v>1769</v>
      </c>
      <c r="B758" s="1765"/>
      <c r="C758" s="1765"/>
      <c r="D758" s="1765"/>
      <c r="E758" s="1765"/>
      <c r="F758" s="1765"/>
      <c r="G758" s="1765"/>
    </row>
    <row r="759" spans="1:7" x14ac:dyDescent="0.2">
      <c r="A759" s="184"/>
      <c r="B759" s="184"/>
      <c r="C759" s="528"/>
      <c r="D759" s="528"/>
    </row>
    <row r="760" spans="1:7" x14ac:dyDescent="0.2">
      <c r="A760" s="185" t="s">
        <v>690</v>
      </c>
      <c r="B760" s="185" t="s">
        <v>689</v>
      </c>
      <c r="C760" s="528"/>
      <c r="D760" s="528"/>
      <c r="E760" s="185"/>
    </row>
    <row r="761" spans="1:7" x14ac:dyDescent="0.2">
      <c r="A761" s="385" t="s">
        <v>247</v>
      </c>
      <c r="B761" s="385" t="s">
        <v>688</v>
      </c>
      <c r="C761" s="528"/>
      <c r="D761" s="528"/>
      <c r="E761" s="529" t="s">
        <v>6</v>
      </c>
    </row>
    <row r="762" spans="1:7" ht="43.5" customHeight="1" x14ac:dyDescent="0.2">
      <c r="A762" s="434" t="s">
        <v>687</v>
      </c>
      <c r="B762" s="530" t="s">
        <v>1933</v>
      </c>
      <c r="C762" s="528"/>
      <c r="D762" s="528"/>
      <c r="E762" s="531" t="s">
        <v>515</v>
      </c>
    </row>
    <row r="763" spans="1:7" x14ac:dyDescent="0.2">
      <c r="A763" s="185" t="s">
        <v>521</v>
      </c>
      <c r="B763" s="185" t="s">
        <v>63</v>
      </c>
      <c r="C763" s="528"/>
      <c r="D763" s="528"/>
    </row>
    <row r="764" spans="1:7" x14ac:dyDescent="0.2">
      <c r="A764" s="185" t="s">
        <v>62</v>
      </c>
      <c r="B764" s="532" t="s">
        <v>63</v>
      </c>
      <c r="C764" s="528"/>
      <c r="D764" s="528"/>
    </row>
    <row r="765" spans="1:7" x14ac:dyDescent="0.2">
      <c r="A765" s="1766" t="s">
        <v>575</v>
      </c>
      <c r="B765" s="1766" t="s">
        <v>11</v>
      </c>
      <c r="C765" s="1945" t="s">
        <v>1934</v>
      </c>
      <c r="D765" s="1946"/>
      <c r="E765" s="1946"/>
      <c r="F765" s="1947"/>
      <c r="G765" s="1948" t="s">
        <v>266</v>
      </c>
    </row>
    <row r="766" spans="1:7" ht="24" x14ac:dyDescent="0.2">
      <c r="A766" s="1766"/>
      <c r="B766" s="1766"/>
      <c r="C766" s="1950" t="s">
        <v>12</v>
      </c>
      <c r="D766" s="1951"/>
      <c r="E766" s="267" t="s">
        <v>13</v>
      </c>
      <c r="F766" s="198" t="s">
        <v>14</v>
      </c>
      <c r="G766" s="1949"/>
    </row>
    <row r="767" spans="1:7" x14ac:dyDescent="0.2">
      <c r="A767" s="197">
        <v>1</v>
      </c>
      <c r="B767" s="197">
        <v>2</v>
      </c>
      <c r="C767" s="1789">
        <v>7</v>
      </c>
      <c r="D767" s="1789"/>
      <c r="E767" s="202">
        <v>8</v>
      </c>
      <c r="F767" s="202">
        <v>9</v>
      </c>
      <c r="G767" s="202">
        <v>11</v>
      </c>
    </row>
    <row r="768" spans="1:7" x14ac:dyDescent="0.2">
      <c r="A768" s="212" t="s">
        <v>720</v>
      </c>
      <c r="B768" s="533" t="s">
        <v>287</v>
      </c>
      <c r="C768" s="205"/>
      <c r="D768" s="206"/>
      <c r="E768" s="534"/>
      <c r="F768" s="449"/>
      <c r="G768" s="463"/>
    </row>
    <row r="769" spans="1:7" ht="24" x14ac:dyDescent="0.2">
      <c r="A769" s="212" t="s">
        <v>721</v>
      </c>
      <c r="B769" s="533" t="s">
        <v>86</v>
      </c>
      <c r="C769" s="205"/>
      <c r="D769" s="206"/>
      <c r="E769" s="534"/>
      <c r="F769" s="449"/>
      <c r="G769" s="463"/>
    </row>
    <row r="770" spans="1:7" ht="24" x14ac:dyDescent="0.2">
      <c r="A770" s="212" t="s">
        <v>722</v>
      </c>
      <c r="B770" s="533" t="s">
        <v>317</v>
      </c>
      <c r="C770" s="205"/>
      <c r="D770" s="206"/>
      <c r="E770" s="216"/>
      <c r="F770" s="449"/>
      <c r="G770" s="463"/>
    </row>
    <row r="771" spans="1:7" ht="24" x14ac:dyDescent="0.2">
      <c r="A771" s="212"/>
      <c r="B771" s="535" t="s">
        <v>762</v>
      </c>
      <c r="C771" s="205">
        <v>30</v>
      </c>
      <c r="D771" s="206" t="s">
        <v>279</v>
      </c>
      <c r="E771" s="216">
        <v>15000</v>
      </c>
      <c r="F771" s="449">
        <v>450000</v>
      </c>
      <c r="G771" s="463"/>
    </row>
    <row r="772" spans="1:7" x14ac:dyDescent="0.2">
      <c r="A772" s="229"/>
      <c r="B772" s="229" t="s">
        <v>1935</v>
      </c>
      <c r="C772" s="205">
        <v>100</v>
      </c>
      <c r="D772" s="206" t="s">
        <v>507</v>
      </c>
      <c r="E772" s="216">
        <v>15000</v>
      </c>
      <c r="F772" s="449">
        <v>1500000</v>
      </c>
      <c r="G772" s="463"/>
    </row>
    <row r="773" spans="1:7" ht="24" x14ac:dyDescent="0.2">
      <c r="A773" s="212" t="s">
        <v>724</v>
      </c>
      <c r="B773" s="533" t="s">
        <v>337</v>
      </c>
      <c r="C773" s="205"/>
      <c r="D773" s="206"/>
      <c r="E773" s="216"/>
      <c r="F773" s="449"/>
      <c r="G773" s="463"/>
    </row>
    <row r="774" spans="1:7" x14ac:dyDescent="0.2">
      <c r="A774" s="212"/>
      <c r="B774" s="229" t="s">
        <v>338</v>
      </c>
      <c r="C774" s="205">
        <v>1</v>
      </c>
      <c r="D774" s="206" t="s">
        <v>95</v>
      </c>
      <c r="E774" s="216">
        <v>90000</v>
      </c>
      <c r="F774" s="449">
        <v>90000</v>
      </c>
      <c r="G774" s="463"/>
    </row>
    <row r="775" spans="1:7" x14ac:dyDescent="0.2">
      <c r="A775" s="212" t="s">
        <v>727</v>
      </c>
      <c r="B775" s="533" t="s">
        <v>304</v>
      </c>
      <c r="C775" s="205"/>
      <c r="D775" s="206"/>
      <c r="E775" s="216"/>
      <c r="F775" s="449"/>
      <c r="G775" s="463"/>
    </row>
    <row r="776" spans="1:7" ht="29.25" customHeight="1" x14ac:dyDescent="0.2">
      <c r="A776" s="297" t="s">
        <v>730</v>
      </c>
      <c r="B776" s="533" t="s">
        <v>718</v>
      </c>
      <c r="C776" s="205"/>
      <c r="D776" s="206"/>
      <c r="E776" s="216"/>
      <c r="F776" s="449"/>
      <c r="G776" s="463"/>
    </row>
    <row r="777" spans="1:7" x14ac:dyDescent="0.2">
      <c r="A777" s="297"/>
      <c r="B777" s="535" t="s">
        <v>429</v>
      </c>
      <c r="C777" s="205">
        <v>1</v>
      </c>
      <c r="D777" s="206" t="s">
        <v>407</v>
      </c>
      <c r="E777" s="216">
        <v>300000</v>
      </c>
      <c r="F777" s="449">
        <v>300000</v>
      </c>
      <c r="G777" s="463"/>
    </row>
    <row r="778" spans="1:7" x14ac:dyDescent="0.2">
      <c r="A778" s="297"/>
      <c r="B778" s="535" t="s">
        <v>535</v>
      </c>
      <c r="C778" s="205">
        <v>1</v>
      </c>
      <c r="D778" s="206" t="s">
        <v>407</v>
      </c>
      <c r="E778" s="216">
        <v>250000</v>
      </c>
      <c r="F778" s="449">
        <v>250000</v>
      </c>
      <c r="G778" s="463"/>
    </row>
    <row r="779" spans="1:7" x14ac:dyDescent="0.2">
      <c r="A779" s="297"/>
      <c r="B779" s="535" t="s">
        <v>518</v>
      </c>
      <c r="C779" s="205">
        <v>3</v>
      </c>
      <c r="D779" s="206" t="s">
        <v>407</v>
      </c>
      <c r="E779" s="216">
        <v>200000</v>
      </c>
      <c r="F779" s="449">
        <v>600000</v>
      </c>
      <c r="G779" s="463"/>
    </row>
    <row r="780" spans="1:7" ht="48" x14ac:dyDescent="0.2">
      <c r="A780" s="297" t="s">
        <v>761</v>
      </c>
      <c r="B780" s="533" t="s">
        <v>707</v>
      </c>
      <c r="C780" s="205"/>
      <c r="D780" s="206"/>
      <c r="E780" s="216"/>
      <c r="F780" s="449"/>
      <c r="G780" s="463"/>
    </row>
    <row r="781" spans="1:7" ht="24" x14ac:dyDescent="0.2">
      <c r="A781" s="297"/>
      <c r="B781" s="535" t="s">
        <v>1936</v>
      </c>
      <c r="C781" s="205">
        <v>2</v>
      </c>
      <c r="D781" s="206" t="s">
        <v>407</v>
      </c>
      <c r="E781" s="216">
        <v>300000</v>
      </c>
      <c r="F781" s="449">
        <f>C781*E781</f>
        <v>600000</v>
      </c>
      <c r="G781" s="463"/>
    </row>
    <row r="782" spans="1:7" ht="15.75" customHeight="1" x14ac:dyDescent="0.2">
      <c r="A782" s="297" t="s">
        <v>758</v>
      </c>
      <c r="B782" s="533" t="s">
        <v>354</v>
      </c>
      <c r="C782" s="528"/>
      <c r="D782" s="528"/>
      <c r="F782" s="449"/>
      <c r="G782" s="463"/>
    </row>
    <row r="783" spans="1:7" x14ac:dyDescent="0.2">
      <c r="A783" s="297"/>
      <c r="B783" s="535" t="s">
        <v>1937</v>
      </c>
      <c r="C783" s="205">
        <v>1</v>
      </c>
      <c r="D783" s="206" t="s">
        <v>407</v>
      </c>
      <c r="E783" s="216">
        <v>250000</v>
      </c>
      <c r="F783" s="449">
        <f>C783*E783</f>
        <v>250000</v>
      </c>
      <c r="G783" s="463"/>
    </row>
    <row r="784" spans="1:7" x14ac:dyDescent="0.2">
      <c r="A784" s="297" t="s">
        <v>735</v>
      </c>
      <c r="B784" s="536" t="s">
        <v>471</v>
      </c>
      <c r="C784" s="205"/>
      <c r="D784" s="206"/>
      <c r="E784" s="216"/>
      <c r="F784" s="449"/>
      <c r="G784" s="463"/>
    </row>
    <row r="785" spans="1:19" ht="24" x14ac:dyDescent="0.2">
      <c r="A785" s="297" t="s">
        <v>734</v>
      </c>
      <c r="B785" s="533" t="s">
        <v>759</v>
      </c>
      <c r="C785" s="205"/>
      <c r="D785" s="206"/>
      <c r="E785" s="216"/>
      <c r="F785" s="449"/>
      <c r="G785" s="463"/>
    </row>
    <row r="786" spans="1:19" x14ac:dyDescent="0.2">
      <c r="A786" s="242"/>
      <c r="B786" s="537" t="s">
        <v>1938</v>
      </c>
      <c r="C786" s="205">
        <v>1</v>
      </c>
      <c r="D786" s="206" t="s">
        <v>1939</v>
      </c>
      <c r="E786" s="215">
        <v>2000000</v>
      </c>
      <c r="F786" s="516">
        <f>C786*E786</f>
        <v>2000000</v>
      </c>
      <c r="G786" s="463"/>
    </row>
    <row r="787" spans="1:19" x14ac:dyDescent="0.2">
      <c r="A787" s="242"/>
      <c r="B787" s="538" t="s">
        <v>1940</v>
      </c>
      <c r="C787" s="205">
        <v>1</v>
      </c>
      <c r="D787" s="206" t="s">
        <v>1939</v>
      </c>
      <c r="E787" s="215">
        <v>1000000</v>
      </c>
      <c r="F787" s="516">
        <f>C787*E787</f>
        <v>1000000</v>
      </c>
      <c r="G787" s="463"/>
    </row>
    <row r="788" spans="1:19" x14ac:dyDescent="0.2">
      <c r="A788" s="242"/>
      <c r="B788" s="538" t="s">
        <v>1941</v>
      </c>
      <c r="C788" s="205">
        <v>1</v>
      </c>
      <c r="D788" s="206" t="s">
        <v>1939</v>
      </c>
      <c r="E788" s="215">
        <v>1000000</v>
      </c>
      <c r="F788" s="516">
        <f>C788*E788</f>
        <v>1000000</v>
      </c>
      <c r="G788" s="463"/>
    </row>
    <row r="789" spans="1:19" x14ac:dyDescent="0.2">
      <c r="A789" s="242"/>
      <c r="B789" s="538" t="s">
        <v>1942</v>
      </c>
      <c r="C789" s="397">
        <v>1</v>
      </c>
      <c r="D789" s="206" t="s">
        <v>1939</v>
      </c>
      <c r="E789" s="215">
        <v>9950000</v>
      </c>
      <c r="F789" s="516">
        <f>C789*E789</f>
        <v>9950000</v>
      </c>
      <c r="G789" s="463"/>
    </row>
    <row r="790" spans="1:19" x14ac:dyDescent="0.2">
      <c r="A790" s="243"/>
      <c r="B790" s="539"/>
      <c r="C790" s="205"/>
      <c r="D790" s="206"/>
      <c r="E790" s="540"/>
      <c r="F790" s="368"/>
      <c r="G790" s="463"/>
    </row>
    <row r="791" spans="1:19" x14ac:dyDescent="0.2">
      <c r="A791" s="217"/>
      <c r="B791" s="541" t="s">
        <v>26</v>
      </c>
      <c r="C791" s="542"/>
      <c r="D791" s="543"/>
      <c r="E791" s="544"/>
      <c r="F791" s="545">
        <f>SUM(F771:F789)</f>
        <v>17990000</v>
      </c>
      <c r="G791" s="463" t="s">
        <v>1845</v>
      </c>
      <c r="L791" s="457">
        <f>F791</f>
        <v>17990000</v>
      </c>
      <c r="S791" s="457"/>
    </row>
    <row r="792" spans="1:19" x14ac:dyDescent="0.2">
      <c r="A792" s="1762" t="s">
        <v>549</v>
      </c>
      <c r="B792" s="1762"/>
      <c r="C792" s="188" t="s">
        <v>27</v>
      </c>
      <c r="D792" s="1763" t="s">
        <v>1429</v>
      </c>
      <c r="E792" s="1763"/>
      <c r="F792" s="1763"/>
      <c r="G792" s="188"/>
    </row>
    <row r="793" spans="1:19" x14ac:dyDescent="0.2">
      <c r="A793" s="1762" t="s">
        <v>28</v>
      </c>
      <c r="B793" s="1762"/>
      <c r="C793" s="188"/>
      <c r="D793" s="1764" t="s">
        <v>2833</v>
      </c>
      <c r="E793" s="1764"/>
      <c r="F793" s="1764"/>
      <c r="G793" s="188"/>
    </row>
    <row r="794" spans="1:19" x14ac:dyDescent="0.2">
      <c r="A794" s="186"/>
      <c r="B794" s="187"/>
      <c r="C794" s="188"/>
      <c r="D794" s="189"/>
      <c r="E794" s="218"/>
      <c r="F794" s="218"/>
      <c r="G794" s="188"/>
    </row>
    <row r="795" spans="1:19" x14ac:dyDescent="0.2">
      <c r="A795" s="186"/>
      <c r="B795" s="187"/>
      <c r="C795" s="188"/>
      <c r="D795" s="189"/>
      <c r="E795" s="218"/>
      <c r="F795" s="218"/>
      <c r="G795" s="188"/>
    </row>
    <row r="796" spans="1:19" x14ac:dyDescent="0.2">
      <c r="A796" s="1762"/>
      <c r="B796" s="1762"/>
      <c r="C796" s="188"/>
      <c r="D796" s="189"/>
      <c r="E796" s="1762"/>
      <c r="F796" s="1762"/>
      <c r="G796" s="188"/>
    </row>
    <row r="797" spans="1:19" x14ac:dyDescent="0.2">
      <c r="A797" s="1762" t="s">
        <v>29</v>
      </c>
      <c r="B797" s="1762"/>
      <c r="C797" s="188"/>
      <c r="D797" s="1762" t="s">
        <v>2954</v>
      </c>
      <c r="E797" s="1762"/>
      <c r="F797" s="1762"/>
      <c r="G797" s="188"/>
    </row>
    <row r="798" spans="1:19" x14ac:dyDescent="0.2">
      <c r="A798" s="1765" t="s">
        <v>0</v>
      </c>
      <c r="B798" s="1765"/>
      <c r="C798" s="1765"/>
      <c r="D798" s="1765"/>
      <c r="E798" s="1765"/>
      <c r="F798" s="1765"/>
    </row>
    <row r="799" spans="1:19" x14ac:dyDescent="0.2">
      <c r="A799" s="1765" t="s">
        <v>1</v>
      </c>
      <c r="B799" s="1765"/>
      <c r="C799" s="1765"/>
      <c r="D799" s="1765"/>
      <c r="E799" s="1765"/>
      <c r="F799" s="1765"/>
    </row>
    <row r="800" spans="1:19" x14ac:dyDescent="0.2">
      <c r="A800" s="1765" t="s">
        <v>1769</v>
      </c>
      <c r="B800" s="1765"/>
      <c r="C800" s="1765"/>
      <c r="D800" s="1765"/>
      <c r="E800" s="1765"/>
      <c r="F800" s="1765"/>
    </row>
    <row r="801" spans="1:7" x14ac:dyDescent="0.2">
      <c r="A801" s="184"/>
      <c r="B801" s="184"/>
      <c r="C801" s="184"/>
      <c r="D801" s="184"/>
      <c r="E801" s="184"/>
      <c r="F801" s="184"/>
    </row>
    <row r="802" spans="1:7" x14ac:dyDescent="0.2">
      <c r="A802" s="184"/>
      <c r="B802" s="184"/>
      <c r="C802" s="184"/>
      <c r="D802" s="184"/>
      <c r="E802" s="184"/>
      <c r="F802" s="184"/>
    </row>
    <row r="803" spans="1:7" x14ac:dyDescent="0.2">
      <c r="A803" s="185" t="s">
        <v>690</v>
      </c>
      <c r="B803" s="185" t="s">
        <v>689</v>
      </c>
      <c r="C803" s="185"/>
      <c r="D803" s="185"/>
      <c r="E803" s="227" t="s">
        <v>6</v>
      </c>
      <c r="F803" s="227"/>
    </row>
    <row r="804" spans="1:7" x14ac:dyDescent="0.2">
      <c r="A804" s="385" t="s">
        <v>247</v>
      </c>
      <c r="B804" s="385" t="s">
        <v>688</v>
      </c>
      <c r="C804" s="385"/>
      <c r="D804" s="184"/>
      <c r="E804" s="193" t="s">
        <v>515</v>
      </c>
      <c r="F804" s="193"/>
    </row>
    <row r="805" spans="1:7" ht="36" x14ac:dyDescent="0.2">
      <c r="A805" s="507" t="s">
        <v>687</v>
      </c>
      <c r="B805" s="386" t="s">
        <v>1729</v>
      </c>
      <c r="C805" s="385"/>
      <c r="D805" s="184"/>
      <c r="E805" s="468"/>
      <c r="F805" s="385"/>
    </row>
    <row r="806" spans="1:7" x14ac:dyDescent="0.2">
      <c r="A806" s="185" t="s">
        <v>521</v>
      </c>
      <c r="B806" s="185" t="s">
        <v>63</v>
      </c>
      <c r="C806" s="385"/>
      <c r="D806" s="184"/>
      <c r="E806" s="468"/>
      <c r="F806" s="385"/>
    </row>
    <row r="807" spans="1:7" x14ac:dyDescent="0.2">
      <c r="A807" s="1893" t="s">
        <v>503</v>
      </c>
      <c r="B807" s="1893"/>
      <c r="C807" s="385"/>
      <c r="D807" s="184"/>
      <c r="E807" s="468"/>
      <c r="F807" s="385"/>
    </row>
    <row r="808" spans="1:7" ht="24" x14ac:dyDescent="0.2">
      <c r="A808" s="469" t="s">
        <v>547</v>
      </c>
      <c r="B808" s="469" t="s">
        <v>11</v>
      </c>
      <c r="C808" s="1954" t="s">
        <v>12</v>
      </c>
      <c r="D808" s="1955"/>
      <c r="E808" s="470" t="s">
        <v>13</v>
      </c>
      <c r="F808" s="479" t="s">
        <v>14</v>
      </c>
      <c r="G808" s="471" t="s">
        <v>364</v>
      </c>
    </row>
    <row r="809" spans="1:7" x14ac:dyDescent="0.2">
      <c r="A809" s="472">
        <v>1</v>
      </c>
      <c r="B809" s="472">
        <v>2</v>
      </c>
      <c r="C809" s="1943">
        <v>3</v>
      </c>
      <c r="D809" s="1944"/>
      <c r="E809" s="473">
        <v>4</v>
      </c>
      <c r="F809" s="392">
        <v>5</v>
      </c>
      <c r="G809" s="471">
        <v>6</v>
      </c>
    </row>
    <row r="810" spans="1:7" x14ac:dyDescent="0.2">
      <c r="A810" s="391" t="s">
        <v>720</v>
      </c>
      <c r="B810" s="463" t="s">
        <v>287</v>
      </c>
      <c r="C810" s="474"/>
      <c r="D810" s="475"/>
      <c r="E810" s="476"/>
      <c r="F810" s="516"/>
      <c r="G810" s="242"/>
    </row>
    <row r="811" spans="1:7" x14ac:dyDescent="0.2">
      <c r="A811" s="391" t="s">
        <v>721</v>
      </c>
      <c r="B811" s="463" t="s">
        <v>86</v>
      </c>
      <c r="C811" s="474"/>
      <c r="D811" s="475"/>
      <c r="E811" s="476"/>
      <c r="F811" s="516"/>
      <c r="G811" s="242"/>
    </row>
    <row r="812" spans="1:7" ht="24" x14ac:dyDescent="0.2">
      <c r="A812" s="391" t="s">
        <v>722</v>
      </c>
      <c r="B812" s="213" t="s">
        <v>317</v>
      </c>
      <c r="C812" s="214"/>
      <c r="D812" s="407"/>
      <c r="E812" s="215"/>
      <c r="F812" s="516"/>
      <c r="G812" s="242"/>
    </row>
    <row r="813" spans="1:7" x14ac:dyDescent="0.2">
      <c r="A813" s="242"/>
      <c r="B813" s="217" t="s">
        <v>1730</v>
      </c>
      <c r="C813" s="214">
        <v>92</v>
      </c>
      <c r="D813" s="407" t="s">
        <v>507</v>
      </c>
      <c r="E813" s="215">
        <v>15000</v>
      </c>
      <c r="F813" s="516">
        <f>E813*C813</f>
        <v>1380000</v>
      </c>
      <c r="G813" s="242"/>
    </row>
    <row r="814" spans="1:7" x14ac:dyDescent="0.2">
      <c r="A814" s="474"/>
      <c r="B814" s="217"/>
      <c r="C814" s="214"/>
      <c r="D814" s="407"/>
      <c r="E814" s="215"/>
      <c r="F814" s="516"/>
      <c r="G814" s="242"/>
    </row>
    <row r="815" spans="1:7" ht="24" x14ac:dyDescent="0.2">
      <c r="A815" s="391" t="s">
        <v>724</v>
      </c>
      <c r="B815" s="213" t="s">
        <v>337</v>
      </c>
      <c r="C815" s="214"/>
      <c r="D815" s="407"/>
      <c r="E815" s="215"/>
      <c r="F815" s="516"/>
      <c r="G815" s="242"/>
    </row>
    <row r="816" spans="1:7" x14ac:dyDescent="0.2">
      <c r="A816" s="474"/>
      <c r="B816" s="217" t="s">
        <v>338</v>
      </c>
      <c r="C816" s="214">
        <v>1</v>
      </c>
      <c r="D816" s="407" t="s">
        <v>95</v>
      </c>
      <c r="E816" s="215">
        <v>90000</v>
      </c>
      <c r="F816" s="516">
        <f>E816*C816</f>
        <v>90000</v>
      </c>
      <c r="G816" s="242"/>
    </row>
    <row r="817" spans="1:19" x14ac:dyDescent="0.2">
      <c r="A817" s="474"/>
      <c r="B817" s="217"/>
      <c r="C817" s="214"/>
      <c r="D817" s="407"/>
      <c r="E817" s="215"/>
      <c r="F817" s="516"/>
      <c r="G817" s="242"/>
    </row>
    <row r="818" spans="1:19" ht="48" x14ac:dyDescent="0.2">
      <c r="A818" s="391" t="s">
        <v>728</v>
      </c>
      <c r="B818" s="213" t="s">
        <v>707</v>
      </c>
      <c r="C818" s="214"/>
      <c r="D818" s="407"/>
      <c r="E818" s="215"/>
      <c r="F818" s="516"/>
      <c r="G818" s="242"/>
    </row>
    <row r="819" spans="1:19" x14ac:dyDescent="0.2">
      <c r="A819" s="242"/>
      <c r="B819" s="217" t="s">
        <v>729</v>
      </c>
      <c r="C819" s="214">
        <v>2</v>
      </c>
      <c r="D819" s="407" t="s">
        <v>279</v>
      </c>
      <c r="E819" s="215">
        <v>300000</v>
      </c>
      <c r="F819" s="516">
        <f>E819*C819</f>
        <v>600000</v>
      </c>
      <c r="G819" s="242"/>
    </row>
    <row r="820" spans="1:19" x14ac:dyDescent="0.2">
      <c r="A820" s="474"/>
      <c r="B820" s="217"/>
      <c r="C820" s="214"/>
      <c r="D820" s="407"/>
      <c r="E820" s="215"/>
      <c r="F820" s="516"/>
      <c r="G820" s="242"/>
    </row>
    <row r="821" spans="1:19" x14ac:dyDescent="0.2">
      <c r="A821" s="242"/>
      <c r="B821" s="546"/>
      <c r="C821" s="235"/>
      <c r="D821" s="451"/>
      <c r="E821" s="426"/>
      <c r="F821" s="521"/>
      <c r="G821" s="242"/>
    </row>
    <row r="822" spans="1:19" x14ac:dyDescent="0.2">
      <c r="A822" s="242"/>
      <c r="B822" s="1984" t="s">
        <v>26</v>
      </c>
      <c r="C822" s="1984"/>
      <c r="D822" s="1984"/>
      <c r="E822" s="1984"/>
      <c r="F822" s="516">
        <f>SUM(F811:F821)</f>
        <v>2070000</v>
      </c>
      <c r="G822" s="242" t="s">
        <v>1409</v>
      </c>
      <c r="K822" s="457">
        <f>F822</f>
        <v>2070000</v>
      </c>
      <c r="S822" s="457"/>
    </row>
    <row r="823" spans="1:19" x14ac:dyDescent="0.2">
      <c r="A823" s="1762" t="s">
        <v>549</v>
      </c>
      <c r="B823" s="1762"/>
      <c r="C823" s="188" t="s">
        <v>27</v>
      </c>
      <c r="D823" s="1763" t="s">
        <v>1429</v>
      </c>
      <c r="E823" s="1763"/>
      <c r="F823" s="1763"/>
      <c r="G823" s="188"/>
    </row>
    <row r="824" spans="1:19" x14ac:dyDescent="0.2">
      <c r="A824" s="1762" t="s">
        <v>28</v>
      </c>
      <c r="B824" s="1762"/>
      <c r="C824" s="188"/>
      <c r="D824" s="1764" t="s">
        <v>2833</v>
      </c>
      <c r="E824" s="1764"/>
      <c r="F824" s="1764"/>
      <c r="G824" s="188"/>
    </row>
    <row r="825" spans="1:19" x14ac:dyDescent="0.2">
      <c r="A825" s="186"/>
      <c r="B825" s="187"/>
      <c r="C825" s="188"/>
      <c r="D825" s="189"/>
      <c r="E825" s="218"/>
      <c r="F825" s="218"/>
      <c r="G825" s="188"/>
    </row>
    <row r="826" spans="1:19" x14ac:dyDescent="0.2">
      <c r="A826" s="186"/>
      <c r="B826" s="187"/>
      <c r="C826" s="188"/>
      <c r="D826" s="189"/>
      <c r="E826" s="218"/>
      <c r="F826" s="218"/>
      <c r="G826" s="188"/>
    </row>
    <row r="827" spans="1:19" x14ac:dyDescent="0.2">
      <c r="A827" s="1762"/>
      <c r="B827" s="1762"/>
      <c r="C827" s="188"/>
      <c r="D827" s="189"/>
      <c r="E827" s="1762"/>
      <c r="F827" s="1762"/>
      <c r="G827" s="188"/>
    </row>
    <row r="828" spans="1:19" x14ac:dyDescent="0.2">
      <c r="A828" s="1762" t="s">
        <v>29</v>
      </c>
      <c r="B828" s="1762"/>
      <c r="C828" s="188"/>
      <c r="D828" s="1762" t="s">
        <v>2954</v>
      </c>
      <c r="E828" s="1762"/>
      <c r="F828" s="1762"/>
      <c r="G828" s="188"/>
    </row>
    <row r="829" spans="1:19" x14ac:dyDescent="0.2">
      <c r="A829" s="450"/>
    </row>
    <row r="830" spans="1:19" x14ac:dyDescent="0.2">
      <c r="A830" s="1765" t="s">
        <v>0</v>
      </c>
      <c r="B830" s="1765"/>
      <c r="C830" s="1765"/>
      <c r="D830" s="1765"/>
      <c r="E830" s="1765"/>
      <c r="F830" s="1765"/>
      <c r="G830" s="1765"/>
    </row>
    <row r="831" spans="1:19" x14ac:dyDescent="0.2">
      <c r="A831" s="1765" t="s">
        <v>1</v>
      </c>
      <c r="B831" s="1765"/>
      <c r="C831" s="1765"/>
      <c r="D831" s="1765"/>
      <c r="E831" s="1765"/>
      <c r="F831" s="1765"/>
      <c r="G831" s="1765"/>
    </row>
    <row r="832" spans="1:19" x14ac:dyDescent="0.2">
      <c r="A832" s="1765" t="s">
        <v>1769</v>
      </c>
      <c r="B832" s="1765"/>
      <c r="C832" s="1765"/>
      <c r="D832" s="1765"/>
      <c r="E832" s="1765"/>
      <c r="F832" s="1765"/>
      <c r="G832" s="1765"/>
    </row>
    <row r="833" spans="1:7" x14ac:dyDescent="0.2">
      <c r="A833" s="184"/>
      <c r="B833" s="184"/>
      <c r="C833" s="184"/>
      <c r="D833" s="184"/>
      <c r="E833" s="184"/>
      <c r="F833" s="184"/>
      <c r="G833" s="185"/>
    </row>
    <row r="834" spans="1:7" x14ac:dyDescent="0.2">
      <c r="A834" s="185" t="s">
        <v>805</v>
      </c>
      <c r="B834" s="185" t="s">
        <v>689</v>
      </c>
      <c r="C834" s="185"/>
      <c r="D834" s="185"/>
      <c r="E834" s="227" t="s">
        <v>6</v>
      </c>
      <c r="F834" s="227" t="s">
        <v>63</v>
      </c>
      <c r="G834" s="185"/>
    </row>
    <row r="835" spans="1:7" x14ac:dyDescent="0.2">
      <c r="A835" s="385" t="s">
        <v>247</v>
      </c>
      <c r="B835" s="385" t="s">
        <v>688</v>
      </c>
      <c r="C835" s="385"/>
      <c r="D835" s="184"/>
      <c r="E835" s="193" t="s">
        <v>9</v>
      </c>
      <c r="F835" s="193" t="s">
        <v>63</v>
      </c>
      <c r="G835" s="185"/>
    </row>
    <row r="836" spans="1:7" ht="56.25" customHeight="1" x14ac:dyDescent="0.2">
      <c r="A836" s="507" t="s">
        <v>804</v>
      </c>
      <c r="B836" s="505" t="s">
        <v>1805</v>
      </c>
      <c r="C836" s="385"/>
      <c r="D836" s="184"/>
      <c r="G836" s="185"/>
    </row>
    <row r="837" spans="1:7" x14ac:dyDescent="0.2">
      <c r="A837" s="185" t="s">
        <v>521</v>
      </c>
      <c r="B837" s="185" t="s">
        <v>546</v>
      </c>
      <c r="C837" s="185"/>
      <c r="D837" s="185"/>
      <c r="E837" s="185"/>
      <c r="F837" s="185"/>
      <c r="G837" s="185"/>
    </row>
    <row r="838" spans="1:7" x14ac:dyDescent="0.2">
      <c r="A838" s="1893" t="s">
        <v>503</v>
      </c>
      <c r="B838" s="1893"/>
      <c r="C838" s="185"/>
      <c r="D838" s="184"/>
      <c r="E838" s="431"/>
      <c r="F838" s="185"/>
      <c r="G838" s="185"/>
    </row>
    <row r="839" spans="1:7" ht="24" x14ac:dyDescent="0.2">
      <c r="A839" s="198" t="s">
        <v>30</v>
      </c>
      <c r="B839" s="198" t="s">
        <v>11</v>
      </c>
      <c r="C839" s="1767" t="s">
        <v>12</v>
      </c>
      <c r="D839" s="1768"/>
      <c r="E839" s="547" t="s">
        <v>13</v>
      </c>
      <c r="F839" s="268" t="s">
        <v>14</v>
      </c>
      <c r="G839" s="200" t="s">
        <v>34</v>
      </c>
    </row>
    <row r="840" spans="1:7" x14ac:dyDescent="0.2">
      <c r="A840" s="197">
        <v>1</v>
      </c>
      <c r="B840" s="197">
        <v>2</v>
      </c>
      <c r="C840" s="1773">
        <v>3</v>
      </c>
      <c r="D840" s="1774"/>
      <c r="E840" s="548">
        <v>4</v>
      </c>
      <c r="F840" s="205">
        <v>5</v>
      </c>
      <c r="G840" s="202">
        <v>6</v>
      </c>
    </row>
    <row r="841" spans="1:7" x14ac:dyDescent="0.2">
      <c r="A841" s="203"/>
      <c r="B841" s="360" t="s">
        <v>1806</v>
      </c>
      <c r="C841" s="205"/>
      <c r="D841" s="206"/>
      <c r="E841" s="197"/>
      <c r="F841" s="197"/>
      <c r="G841" s="207"/>
    </row>
    <row r="842" spans="1:7" x14ac:dyDescent="0.2">
      <c r="A842" s="203" t="s">
        <v>720</v>
      </c>
      <c r="B842" s="204" t="s">
        <v>84</v>
      </c>
      <c r="C842" s="205"/>
      <c r="D842" s="206"/>
      <c r="E842" s="197"/>
      <c r="F842" s="197"/>
      <c r="G842" s="207"/>
    </row>
    <row r="843" spans="1:7" x14ac:dyDescent="0.2">
      <c r="A843" s="203" t="s">
        <v>721</v>
      </c>
      <c r="B843" s="204" t="s">
        <v>86</v>
      </c>
      <c r="C843" s="205"/>
      <c r="D843" s="206"/>
      <c r="E843" s="197"/>
      <c r="F843" s="197"/>
      <c r="G843" s="207"/>
    </row>
    <row r="844" spans="1:7" ht="24" x14ac:dyDescent="0.2">
      <c r="A844" s="203" t="s">
        <v>739</v>
      </c>
      <c r="B844" s="204" t="s">
        <v>288</v>
      </c>
      <c r="C844" s="205"/>
      <c r="D844" s="206"/>
      <c r="E844" s="175"/>
      <c r="F844" s="175"/>
      <c r="G844" s="207"/>
    </row>
    <row r="845" spans="1:7" x14ac:dyDescent="0.2">
      <c r="A845" s="203"/>
      <c r="B845" s="463" t="s">
        <v>2858</v>
      </c>
      <c r="C845" s="205">
        <v>5</v>
      </c>
      <c r="D845" s="206" t="s">
        <v>89</v>
      </c>
      <c r="E845" s="175">
        <v>70000</v>
      </c>
      <c r="F845" s="175">
        <f>C845*E845</f>
        <v>350000</v>
      </c>
      <c r="G845" s="207"/>
    </row>
    <row r="846" spans="1:7" x14ac:dyDescent="0.2">
      <c r="A846" s="203"/>
      <c r="B846" s="204" t="s">
        <v>275</v>
      </c>
      <c r="C846" s="205">
        <v>200</v>
      </c>
      <c r="D846" s="206" t="s">
        <v>276</v>
      </c>
      <c r="E846" s="175">
        <v>400</v>
      </c>
      <c r="F846" s="175">
        <f>C846*E846</f>
        <v>80000</v>
      </c>
      <c r="G846" s="207"/>
    </row>
    <row r="847" spans="1:7" x14ac:dyDescent="0.2">
      <c r="A847" s="203"/>
      <c r="B847" s="463" t="s">
        <v>2802</v>
      </c>
      <c r="C847" s="205">
        <v>35</v>
      </c>
      <c r="D847" s="206" t="s">
        <v>272</v>
      </c>
      <c r="E847" s="175">
        <v>3600</v>
      </c>
      <c r="F847" s="175">
        <f>C847*E847</f>
        <v>126000</v>
      </c>
      <c r="G847" s="207"/>
    </row>
    <row r="848" spans="1:7" x14ac:dyDescent="0.2">
      <c r="A848" s="203"/>
      <c r="B848" s="242" t="s">
        <v>1776</v>
      </c>
      <c r="C848" s="205">
        <v>35</v>
      </c>
      <c r="D848" s="206" t="s">
        <v>272</v>
      </c>
      <c r="E848" s="175">
        <v>6000</v>
      </c>
      <c r="F848" s="175">
        <f>C848*E848</f>
        <v>210000</v>
      </c>
      <c r="G848" s="207"/>
    </row>
    <row r="849" spans="1:7" x14ac:dyDescent="0.2">
      <c r="A849" s="203"/>
      <c r="B849" s="204"/>
      <c r="C849" s="205"/>
      <c r="D849" s="206"/>
      <c r="E849" s="175"/>
      <c r="F849" s="175"/>
      <c r="G849" s="207"/>
    </row>
    <row r="850" spans="1:7" ht="24" x14ac:dyDescent="0.2">
      <c r="A850" s="203" t="s">
        <v>722</v>
      </c>
      <c r="B850" s="204" t="s">
        <v>317</v>
      </c>
      <c r="C850" s="205"/>
      <c r="D850" s="206"/>
      <c r="E850" s="175"/>
      <c r="F850" s="175"/>
      <c r="G850" s="207"/>
    </row>
    <row r="851" spans="1:7" x14ac:dyDescent="0.2">
      <c r="A851" s="203"/>
      <c r="B851" s="204" t="s">
        <v>1063</v>
      </c>
      <c r="C851" s="205">
        <v>70</v>
      </c>
      <c r="D851" s="206" t="s">
        <v>479</v>
      </c>
      <c r="E851" s="175">
        <v>15000</v>
      </c>
      <c r="F851" s="175">
        <f>C851*E851</f>
        <v>1050000</v>
      </c>
      <c r="G851" s="207"/>
    </row>
    <row r="852" spans="1:7" x14ac:dyDescent="0.2">
      <c r="A852" s="203"/>
      <c r="B852" s="204"/>
      <c r="C852" s="205"/>
      <c r="D852" s="206"/>
      <c r="E852" s="175"/>
      <c r="F852" s="175"/>
      <c r="G852" s="207"/>
    </row>
    <row r="853" spans="1:7" x14ac:dyDescent="0.2">
      <c r="A853" s="203" t="s">
        <v>727</v>
      </c>
      <c r="B853" s="204" t="s">
        <v>304</v>
      </c>
      <c r="C853" s="205"/>
      <c r="D853" s="206"/>
      <c r="E853" s="175"/>
      <c r="F853" s="175"/>
      <c r="G853" s="207"/>
    </row>
    <row r="854" spans="1:7" ht="24" x14ac:dyDescent="0.2">
      <c r="A854" s="203" t="s">
        <v>728</v>
      </c>
      <c r="B854" s="204" t="s">
        <v>1062</v>
      </c>
      <c r="C854" s="205"/>
      <c r="D854" s="206"/>
      <c r="E854" s="197"/>
      <c r="F854" s="197"/>
      <c r="G854" s="207"/>
    </row>
    <row r="855" spans="1:7" x14ac:dyDescent="0.2">
      <c r="A855" s="203"/>
      <c r="B855" s="204" t="s">
        <v>1807</v>
      </c>
      <c r="C855" s="205">
        <v>2</v>
      </c>
      <c r="D855" s="206" t="s">
        <v>419</v>
      </c>
      <c r="E855" s="175">
        <v>300000</v>
      </c>
      <c r="F855" s="175">
        <f>C855*E855</f>
        <v>600000</v>
      </c>
      <c r="G855" s="207"/>
    </row>
    <row r="856" spans="1:7" x14ac:dyDescent="0.2">
      <c r="A856" s="203"/>
      <c r="B856" s="549"/>
      <c r="C856" s="205"/>
      <c r="D856" s="206"/>
      <c r="E856" s="175"/>
      <c r="F856" s="175"/>
      <c r="G856" s="207"/>
    </row>
    <row r="857" spans="1:7" x14ac:dyDescent="0.2">
      <c r="A857" s="256"/>
      <c r="B857" s="550" t="s">
        <v>1808</v>
      </c>
      <c r="C857" s="214"/>
      <c r="D857" s="244"/>
      <c r="E857" s="230"/>
      <c r="F857" s="230"/>
      <c r="G857" s="217"/>
    </row>
    <row r="858" spans="1:7" x14ac:dyDescent="0.2">
      <c r="A858" s="257"/>
      <c r="B858" s="551"/>
      <c r="C858" s="214"/>
      <c r="D858" s="244"/>
      <c r="E858" s="230"/>
      <c r="F858" s="230"/>
      <c r="G858" s="258"/>
    </row>
    <row r="859" spans="1:7" ht="24" x14ac:dyDescent="0.2">
      <c r="A859" s="203" t="s">
        <v>722</v>
      </c>
      <c r="B859" s="204" t="s">
        <v>317</v>
      </c>
      <c r="C859" s="205"/>
      <c r="D859" s="206"/>
      <c r="E859" s="175"/>
      <c r="F859" s="175"/>
      <c r="G859" s="207"/>
    </row>
    <row r="860" spans="1:7" x14ac:dyDescent="0.2">
      <c r="A860" s="256"/>
      <c r="B860" s="217" t="s">
        <v>2764</v>
      </c>
      <c r="C860" s="214">
        <v>70</v>
      </c>
      <c r="D860" s="244" t="s">
        <v>507</v>
      </c>
      <c r="E860" s="215">
        <v>15000</v>
      </c>
      <c r="F860" s="215">
        <f>E860*C860</f>
        <v>1050000</v>
      </c>
      <c r="G860" s="207"/>
    </row>
    <row r="861" spans="1:7" x14ac:dyDescent="0.2">
      <c r="A861" s="257"/>
      <c r="B861" s="217"/>
      <c r="C861" s="214"/>
      <c r="D861" s="244"/>
      <c r="E861" s="215"/>
      <c r="F861" s="216"/>
      <c r="G861" s="207"/>
    </row>
    <row r="862" spans="1:7" x14ac:dyDescent="0.2">
      <c r="A862" s="203" t="s">
        <v>724</v>
      </c>
      <c r="B862" s="217" t="s">
        <v>1061</v>
      </c>
      <c r="C862" s="214"/>
      <c r="D862" s="244"/>
      <c r="E862" s="215"/>
      <c r="F862" s="215"/>
      <c r="G862" s="217"/>
    </row>
    <row r="863" spans="1:7" x14ac:dyDescent="0.2">
      <c r="A863" s="256"/>
      <c r="B863" s="217" t="s">
        <v>1060</v>
      </c>
      <c r="C863" s="214">
        <v>1</v>
      </c>
      <c r="D863" s="244" t="s">
        <v>110</v>
      </c>
      <c r="E863" s="215">
        <v>150000</v>
      </c>
      <c r="F863" s="215">
        <f>E863*C863</f>
        <v>150000</v>
      </c>
      <c r="G863" s="207"/>
    </row>
    <row r="864" spans="1:7" x14ac:dyDescent="0.2">
      <c r="A864" s="257"/>
      <c r="B864" s="217"/>
      <c r="C864" s="214"/>
      <c r="D864" s="244"/>
      <c r="E864" s="215"/>
      <c r="F864" s="215"/>
      <c r="G864" s="207"/>
    </row>
    <row r="865" spans="1:7" x14ac:dyDescent="0.2">
      <c r="A865" s="203" t="s">
        <v>725</v>
      </c>
      <c r="B865" s="217" t="s">
        <v>450</v>
      </c>
      <c r="C865" s="214"/>
      <c r="D865" s="407"/>
      <c r="E865" s="215"/>
      <c r="F865" s="449"/>
      <c r="G865" s="207"/>
    </row>
    <row r="866" spans="1:7" x14ac:dyDescent="0.2">
      <c r="A866" s="217"/>
      <c r="B866" s="217" t="s">
        <v>451</v>
      </c>
      <c r="C866" s="214">
        <v>1</v>
      </c>
      <c r="D866" s="244" t="s">
        <v>95</v>
      </c>
      <c r="E866" s="215">
        <v>100000</v>
      </c>
      <c r="F866" s="449">
        <f>E866*C866</f>
        <v>100000</v>
      </c>
      <c r="G866" s="213"/>
    </row>
    <row r="867" spans="1:7" x14ac:dyDescent="0.2">
      <c r="A867" s="217"/>
      <c r="B867" s="217" t="s">
        <v>285</v>
      </c>
      <c r="C867" s="214">
        <v>5</v>
      </c>
      <c r="D867" s="244" t="s">
        <v>165</v>
      </c>
      <c r="E867" s="215">
        <v>3000</v>
      </c>
      <c r="F867" s="449">
        <f>E867*C867</f>
        <v>15000</v>
      </c>
      <c r="G867" s="242"/>
    </row>
    <row r="868" spans="1:7" x14ac:dyDescent="0.2">
      <c r="A868" s="217"/>
      <c r="B868" s="217" t="s">
        <v>299</v>
      </c>
      <c r="C868" s="214">
        <v>1</v>
      </c>
      <c r="D868" s="244" t="s">
        <v>300</v>
      </c>
      <c r="E868" s="215">
        <v>10000</v>
      </c>
      <c r="F868" s="449">
        <f>E868*C868</f>
        <v>10000</v>
      </c>
      <c r="G868" s="242"/>
    </row>
    <row r="869" spans="1:7" x14ac:dyDescent="0.2">
      <c r="A869" s="258"/>
      <c r="B869" s="217"/>
      <c r="C869" s="214"/>
      <c r="D869" s="244"/>
      <c r="E869" s="215"/>
      <c r="F869" s="449"/>
      <c r="G869" s="552"/>
    </row>
    <row r="870" spans="1:7" x14ac:dyDescent="0.2">
      <c r="A870" s="203" t="s">
        <v>727</v>
      </c>
      <c r="B870" s="217" t="s">
        <v>304</v>
      </c>
      <c r="C870" s="214"/>
      <c r="D870" s="244"/>
      <c r="E870" s="215"/>
      <c r="F870" s="215"/>
      <c r="G870" s="207"/>
    </row>
    <row r="871" spans="1:7" ht="36" x14ac:dyDescent="0.2">
      <c r="A871" s="203" t="s">
        <v>730</v>
      </c>
      <c r="B871" s="213" t="s">
        <v>517</v>
      </c>
      <c r="C871" s="214"/>
      <c r="D871" s="244"/>
      <c r="E871" s="215"/>
      <c r="F871" s="215"/>
      <c r="G871" s="207"/>
    </row>
    <row r="872" spans="1:7" x14ac:dyDescent="0.2">
      <c r="A872" s="203"/>
      <c r="B872" s="217" t="s">
        <v>188</v>
      </c>
      <c r="C872" s="214">
        <v>1</v>
      </c>
      <c r="D872" s="244" t="s">
        <v>279</v>
      </c>
      <c r="E872" s="215">
        <v>300000</v>
      </c>
      <c r="F872" s="215">
        <f>E872*C872</f>
        <v>300000</v>
      </c>
      <c r="G872" s="207"/>
    </row>
    <row r="873" spans="1:7" x14ac:dyDescent="0.2">
      <c r="A873" s="203"/>
      <c r="B873" s="217" t="s">
        <v>189</v>
      </c>
      <c r="C873" s="214">
        <v>1</v>
      </c>
      <c r="D873" s="244" t="s">
        <v>279</v>
      </c>
      <c r="E873" s="215">
        <v>250000</v>
      </c>
      <c r="F873" s="215">
        <f>E873*C873</f>
        <v>250000</v>
      </c>
      <c r="G873" s="207"/>
    </row>
    <row r="874" spans="1:7" x14ac:dyDescent="0.2">
      <c r="A874" s="203"/>
      <c r="B874" s="217" t="s">
        <v>352</v>
      </c>
      <c r="C874" s="214">
        <v>1</v>
      </c>
      <c r="D874" s="244" t="s">
        <v>279</v>
      </c>
      <c r="E874" s="215">
        <v>200000</v>
      </c>
      <c r="F874" s="215">
        <f>E874*C874</f>
        <v>200000</v>
      </c>
      <c r="G874" s="207"/>
    </row>
    <row r="875" spans="1:7" x14ac:dyDescent="0.2">
      <c r="A875" s="203"/>
      <c r="B875" s="217"/>
      <c r="C875" s="214"/>
      <c r="D875" s="244"/>
      <c r="E875" s="215"/>
      <c r="F875" s="215"/>
      <c r="G875" s="207"/>
    </row>
    <row r="876" spans="1:7" ht="36" x14ac:dyDescent="0.2">
      <c r="A876" s="203" t="s">
        <v>728</v>
      </c>
      <c r="B876" s="213" t="s">
        <v>926</v>
      </c>
      <c r="C876" s="214"/>
      <c r="D876" s="244"/>
      <c r="E876" s="230"/>
      <c r="F876" s="230"/>
      <c r="G876" s="217"/>
    </row>
    <row r="877" spans="1:7" x14ac:dyDescent="0.2">
      <c r="A877" s="256"/>
      <c r="B877" s="217" t="s">
        <v>1809</v>
      </c>
      <c r="C877" s="214">
        <v>3</v>
      </c>
      <c r="D877" s="244" t="s">
        <v>2759</v>
      </c>
      <c r="E877" s="230">
        <v>300000</v>
      </c>
      <c r="F877" s="230">
        <f>E877*C877</f>
        <v>900000</v>
      </c>
      <c r="G877" s="207"/>
    </row>
    <row r="878" spans="1:7" x14ac:dyDescent="0.2">
      <c r="A878" s="257"/>
      <c r="B878" s="217"/>
      <c r="C878" s="214"/>
      <c r="D878" s="244"/>
      <c r="E878" s="230"/>
      <c r="F878" s="230"/>
      <c r="G878" s="207"/>
    </row>
    <row r="879" spans="1:7" ht="36" x14ac:dyDescent="0.2">
      <c r="A879" s="203" t="s">
        <v>1810</v>
      </c>
      <c r="B879" s="213" t="s">
        <v>1059</v>
      </c>
      <c r="C879" s="214"/>
      <c r="D879" s="244"/>
      <c r="E879" s="230"/>
      <c r="F879" s="230"/>
      <c r="G879" s="207"/>
    </row>
    <row r="880" spans="1:7" ht="24" x14ac:dyDescent="0.2">
      <c r="A880" s="203" t="s">
        <v>1811</v>
      </c>
      <c r="B880" s="213" t="s">
        <v>1058</v>
      </c>
      <c r="C880" s="214"/>
      <c r="D880" s="244"/>
      <c r="E880" s="215"/>
      <c r="F880" s="215"/>
      <c r="G880" s="217"/>
    </row>
    <row r="881" spans="1:20" x14ac:dyDescent="0.2">
      <c r="A881" s="256"/>
      <c r="B881" s="217" t="s">
        <v>991</v>
      </c>
      <c r="C881" s="214">
        <v>1</v>
      </c>
      <c r="D881" s="244" t="s">
        <v>222</v>
      </c>
      <c r="E881" s="215">
        <v>2500000</v>
      </c>
      <c r="F881" s="215">
        <f>C881*E881</f>
        <v>2500000</v>
      </c>
      <c r="G881" s="207"/>
    </row>
    <row r="882" spans="1:20" x14ac:dyDescent="0.2">
      <c r="A882" s="256"/>
      <c r="B882" s="217" t="s">
        <v>992</v>
      </c>
      <c r="C882" s="214">
        <v>1</v>
      </c>
      <c r="D882" s="244" t="s">
        <v>222</v>
      </c>
      <c r="E882" s="215">
        <v>2000000</v>
      </c>
      <c r="F882" s="215">
        <f>C882*E882</f>
        <v>2000000</v>
      </c>
      <c r="G882" s="207"/>
    </row>
    <row r="883" spans="1:20" x14ac:dyDescent="0.2">
      <c r="A883" s="256"/>
      <c r="B883" s="217" t="s">
        <v>993</v>
      </c>
      <c r="C883" s="214">
        <v>1</v>
      </c>
      <c r="D883" s="244" t="s">
        <v>222</v>
      </c>
      <c r="E883" s="215">
        <v>1500000</v>
      </c>
      <c r="F883" s="215">
        <f>C883*E883</f>
        <v>1500000</v>
      </c>
      <c r="G883" s="207"/>
    </row>
    <row r="884" spans="1:20" x14ac:dyDescent="0.2">
      <c r="A884" s="256"/>
      <c r="B884" s="217"/>
      <c r="C884" s="214"/>
      <c r="D884" s="244"/>
      <c r="E884" s="215"/>
      <c r="F884" s="215"/>
      <c r="G884" s="207"/>
    </row>
    <row r="885" spans="1:20" x14ac:dyDescent="0.2">
      <c r="A885" s="217"/>
      <c r="B885" s="217"/>
      <c r="C885" s="214"/>
      <c r="D885" s="244"/>
      <c r="E885" s="215"/>
      <c r="F885" s="216"/>
      <c r="G885" s="242"/>
    </row>
    <row r="886" spans="1:20" x14ac:dyDescent="0.2">
      <c r="A886" s="217"/>
      <c r="B886" s="550" t="s">
        <v>26</v>
      </c>
      <c r="C886" s="553"/>
      <c r="D886" s="554"/>
      <c r="E886" s="550"/>
      <c r="F886" s="555">
        <f>SUM(F845:F883)</f>
        <v>11391000</v>
      </c>
      <c r="G886" s="242" t="s">
        <v>2570</v>
      </c>
      <c r="L886" s="637"/>
      <c r="T886" s="637">
        <f>F886</f>
        <v>11391000</v>
      </c>
    </row>
    <row r="888" spans="1:20" x14ac:dyDescent="0.2">
      <c r="A888" s="1762" t="s">
        <v>549</v>
      </c>
      <c r="B888" s="1762"/>
      <c r="C888" s="188" t="s">
        <v>27</v>
      </c>
      <c r="D888" s="1763" t="s">
        <v>1429</v>
      </c>
      <c r="E888" s="1763"/>
      <c r="F888" s="1763"/>
      <c r="G888" s="188"/>
    </row>
    <row r="889" spans="1:20" x14ac:dyDescent="0.2">
      <c r="A889" s="1762" t="s">
        <v>28</v>
      </c>
      <c r="B889" s="1762"/>
      <c r="C889" s="188"/>
      <c r="D889" s="1764" t="s">
        <v>2833</v>
      </c>
      <c r="E889" s="1764"/>
      <c r="F889" s="1764"/>
      <c r="G889" s="188"/>
    </row>
    <row r="890" spans="1:20" x14ac:dyDescent="0.2">
      <c r="A890" s="186"/>
      <c r="B890" s="187"/>
      <c r="C890" s="188"/>
      <c r="D890" s="189"/>
      <c r="E890" s="218"/>
      <c r="F890" s="218"/>
      <c r="G890" s="188"/>
    </row>
    <row r="891" spans="1:20" x14ac:dyDescent="0.2">
      <c r="A891" s="186"/>
      <c r="B891" s="187"/>
      <c r="C891" s="188"/>
      <c r="D891" s="189"/>
      <c r="E891" s="218"/>
      <c r="F891" s="218"/>
      <c r="G891" s="188"/>
    </row>
    <row r="892" spans="1:20" x14ac:dyDescent="0.2">
      <c r="A892" s="1762"/>
      <c r="B892" s="1762"/>
      <c r="C892" s="188"/>
      <c r="D892" s="189"/>
      <c r="E892" s="1762"/>
      <c r="F892" s="1762"/>
      <c r="G892" s="188"/>
    </row>
    <row r="893" spans="1:20" x14ac:dyDescent="0.2">
      <c r="A893" s="1762" t="s">
        <v>29</v>
      </c>
      <c r="B893" s="1762"/>
      <c r="C893" s="188"/>
      <c r="D893" s="1762" t="s">
        <v>2954</v>
      </c>
      <c r="E893" s="1762"/>
      <c r="F893" s="1762"/>
      <c r="G893" s="188"/>
    </row>
    <row r="894" spans="1:20" x14ac:dyDescent="0.2">
      <c r="A894" s="1765" t="s">
        <v>0</v>
      </c>
      <c r="B894" s="1765"/>
      <c r="C894" s="1765"/>
      <c r="D894" s="1765"/>
      <c r="E894" s="1765"/>
      <c r="F894" s="1765"/>
      <c r="G894" s="185"/>
    </row>
    <row r="895" spans="1:20" x14ac:dyDescent="0.2">
      <c r="A895" s="1765" t="s">
        <v>1</v>
      </c>
      <c r="B895" s="1765"/>
      <c r="C895" s="1765"/>
      <c r="D895" s="1765"/>
      <c r="E895" s="1765"/>
      <c r="F895" s="1765"/>
      <c r="G895" s="185"/>
    </row>
    <row r="896" spans="1:20" x14ac:dyDescent="0.2">
      <c r="A896" s="1765" t="s">
        <v>1769</v>
      </c>
      <c r="B896" s="1765"/>
      <c r="C896" s="1765"/>
      <c r="D896" s="1765"/>
      <c r="E896" s="1765"/>
      <c r="F896" s="1765"/>
      <c r="G896" s="185"/>
    </row>
    <row r="897" spans="1:7" x14ac:dyDescent="0.2">
      <c r="A897" s="185" t="s">
        <v>690</v>
      </c>
      <c r="B897" s="185" t="s">
        <v>689</v>
      </c>
      <c r="C897" s="185"/>
      <c r="D897" s="185"/>
      <c r="E897" s="227" t="s">
        <v>6</v>
      </c>
      <c r="F897" s="227" t="s">
        <v>63</v>
      </c>
      <c r="G897" s="185"/>
    </row>
    <row r="898" spans="1:7" x14ac:dyDescent="0.2">
      <c r="A898" s="385" t="s">
        <v>247</v>
      </c>
      <c r="B898" s="385" t="s">
        <v>688</v>
      </c>
      <c r="C898" s="385"/>
      <c r="D898" s="184"/>
      <c r="E898" s="193" t="s">
        <v>515</v>
      </c>
      <c r="F898" s="193" t="s">
        <v>63</v>
      </c>
      <c r="G898" s="185"/>
    </row>
    <row r="899" spans="1:7" ht="72" x14ac:dyDescent="0.2">
      <c r="A899" s="385" t="s">
        <v>687</v>
      </c>
      <c r="B899" s="386" t="s">
        <v>1812</v>
      </c>
      <c r="C899" s="385"/>
      <c r="D899" s="184"/>
      <c r="E899" s="468"/>
      <c r="F899" s="385"/>
      <c r="G899" s="185"/>
    </row>
    <row r="900" spans="1:7" x14ac:dyDescent="0.2">
      <c r="A900" s="185" t="s">
        <v>521</v>
      </c>
      <c r="B900" s="185" t="s">
        <v>546</v>
      </c>
      <c r="C900" s="185"/>
      <c r="D900" s="185"/>
      <c r="E900" s="185"/>
      <c r="F900" s="185"/>
      <c r="G900" s="185"/>
    </row>
    <row r="901" spans="1:7" x14ac:dyDescent="0.2">
      <c r="A901" s="1893" t="s">
        <v>503</v>
      </c>
      <c r="B901" s="1893"/>
      <c r="C901" s="185"/>
      <c r="D901" s="385"/>
      <c r="E901" s="431"/>
      <c r="F901" s="185"/>
      <c r="G901" s="185"/>
    </row>
    <row r="904" spans="1:7" ht="24" x14ac:dyDescent="0.2">
      <c r="A904" s="469" t="s">
        <v>547</v>
      </c>
      <c r="B904" s="469" t="s">
        <v>11</v>
      </c>
      <c r="C904" s="1954" t="s">
        <v>12</v>
      </c>
      <c r="D904" s="1955"/>
      <c r="E904" s="470" t="s">
        <v>13</v>
      </c>
      <c r="F904" s="469" t="s">
        <v>14</v>
      </c>
      <c r="G904" s="471" t="s">
        <v>266</v>
      </c>
    </row>
    <row r="905" spans="1:7" x14ac:dyDescent="0.2">
      <c r="A905" s="472">
        <v>1</v>
      </c>
      <c r="B905" s="472">
        <v>2</v>
      </c>
      <c r="C905" s="1943">
        <v>3</v>
      </c>
      <c r="D905" s="1944"/>
      <c r="E905" s="473">
        <v>4</v>
      </c>
      <c r="F905" s="472">
        <v>5</v>
      </c>
      <c r="G905" s="471">
        <v>6</v>
      </c>
    </row>
    <row r="906" spans="1:7" x14ac:dyDescent="0.2">
      <c r="A906" s="391" t="s">
        <v>720</v>
      </c>
      <c r="B906" s="463" t="s">
        <v>287</v>
      </c>
      <c r="C906" s="474"/>
      <c r="D906" s="475"/>
      <c r="E906" s="476"/>
      <c r="F906" s="477"/>
      <c r="G906" s="242"/>
    </row>
    <row r="907" spans="1:7" x14ac:dyDescent="0.2">
      <c r="A907" s="391" t="s">
        <v>721</v>
      </c>
      <c r="B907" s="463" t="s">
        <v>86</v>
      </c>
      <c r="C907" s="474"/>
      <c r="D907" s="475"/>
      <c r="E907" s="476"/>
      <c r="F907" s="477"/>
      <c r="G907" s="242"/>
    </row>
    <row r="908" spans="1:7" ht="24" x14ac:dyDescent="0.2">
      <c r="A908" s="391" t="s">
        <v>739</v>
      </c>
      <c r="B908" s="463" t="s">
        <v>738</v>
      </c>
      <c r="C908" s="474"/>
      <c r="D908" s="475"/>
      <c r="E908" s="476"/>
      <c r="F908" s="477"/>
      <c r="G908" s="242"/>
    </row>
    <row r="909" spans="1:7" x14ac:dyDescent="0.2">
      <c r="A909" s="242"/>
      <c r="B909" s="217" t="s">
        <v>2859</v>
      </c>
      <c r="C909" s="214">
        <v>1</v>
      </c>
      <c r="D909" s="407" t="s">
        <v>89</v>
      </c>
      <c r="E909" s="215">
        <v>70000</v>
      </c>
      <c r="F909" s="477">
        <f>E909*C909</f>
        <v>70000</v>
      </c>
      <c r="G909" s="242"/>
    </row>
    <row r="910" spans="1:7" x14ac:dyDescent="0.2">
      <c r="A910" s="242"/>
      <c r="B910" s="217" t="s">
        <v>1260</v>
      </c>
      <c r="C910" s="214">
        <v>300</v>
      </c>
      <c r="D910" s="407" t="s">
        <v>276</v>
      </c>
      <c r="E910" s="215">
        <v>400</v>
      </c>
      <c r="F910" s="477">
        <f>E910*C910</f>
        <v>120000</v>
      </c>
      <c r="G910" s="242"/>
    </row>
    <row r="911" spans="1:7" x14ac:dyDescent="0.2">
      <c r="A911" s="242"/>
      <c r="B911" s="217"/>
      <c r="C911" s="214"/>
      <c r="D911" s="407"/>
      <c r="E911" s="215"/>
      <c r="F911" s="477"/>
      <c r="G911" s="242"/>
    </row>
    <row r="912" spans="1:7" ht="24" x14ac:dyDescent="0.2">
      <c r="A912" s="391" t="s">
        <v>722</v>
      </c>
      <c r="B912" s="213" t="s">
        <v>317</v>
      </c>
      <c r="C912" s="214"/>
      <c r="D912" s="407"/>
      <c r="E912" s="215"/>
      <c r="F912" s="477"/>
      <c r="G912" s="242"/>
    </row>
    <row r="913" spans="1:20" x14ac:dyDescent="0.2">
      <c r="A913" s="242"/>
      <c r="B913" s="217" t="s">
        <v>1814</v>
      </c>
      <c r="C913" s="214">
        <v>40</v>
      </c>
      <c r="D913" s="407" t="s">
        <v>507</v>
      </c>
      <c r="E913" s="215">
        <v>15000</v>
      </c>
      <c r="F913" s="477">
        <f>E913*C913</f>
        <v>600000</v>
      </c>
      <c r="G913" s="242"/>
    </row>
    <row r="914" spans="1:20" x14ac:dyDescent="0.2">
      <c r="A914" s="391" t="s">
        <v>723</v>
      </c>
      <c r="B914" s="217" t="s">
        <v>1815</v>
      </c>
      <c r="C914" s="214"/>
      <c r="D914" s="407"/>
      <c r="E914" s="215"/>
      <c r="F914" s="477"/>
      <c r="G914" s="242"/>
    </row>
    <row r="915" spans="1:20" x14ac:dyDescent="0.2">
      <c r="A915" s="242"/>
      <c r="B915" s="217" t="s">
        <v>1816</v>
      </c>
      <c r="C915" s="214">
        <v>30</v>
      </c>
      <c r="D915" s="407" t="s">
        <v>138</v>
      </c>
      <c r="E915" s="215">
        <v>200000</v>
      </c>
      <c r="F915" s="477">
        <f>C915*E915</f>
        <v>6000000</v>
      </c>
      <c r="G915" s="242"/>
    </row>
    <row r="916" spans="1:20" x14ac:dyDescent="0.2">
      <c r="A916" s="242"/>
      <c r="B916" s="217"/>
      <c r="C916" s="214"/>
      <c r="D916" s="407"/>
      <c r="E916" s="215"/>
      <c r="F916" s="477"/>
      <c r="G916" s="242"/>
    </row>
    <row r="917" spans="1:20" ht="24" x14ac:dyDescent="0.2">
      <c r="A917" s="391" t="s">
        <v>724</v>
      </c>
      <c r="B917" s="213" t="s">
        <v>337</v>
      </c>
      <c r="C917" s="214"/>
      <c r="D917" s="407"/>
      <c r="E917" s="215"/>
      <c r="F917" s="477"/>
      <c r="G917" s="242"/>
    </row>
    <row r="918" spans="1:20" x14ac:dyDescent="0.2">
      <c r="A918" s="242"/>
      <c r="B918" s="217" t="s">
        <v>338</v>
      </c>
      <c r="C918" s="214">
        <v>1</v>
      </c>
      <c r="D918" s="407" t="s">
        <v>95</v>
      </c>
      <c r="E918" s="215">
        <v>90000</v>
      </c>
      <c r="F918" s="477">
        <f>E918*C918</f>
        <v>90000</v>
      </c>
      <c r="G918" s="242"/>
    </row>
    <row r="919" spans="1:20" x14ac:dyDescent="0.2">
      <c r="A919" s="242"/>
      <c r="B919" s="217"/>
      <c r="C919" s="214"/>
      <c r="D919" s="407"/>
      <c r="E919" s="215"/>
      <c r="F919" s="477"/>
      <c r="G919" s="242"/>
    </row>
    <row r="920" spans="1:20" x14ac:dyDescent="0.2">
      <c r="A920" s="391" t="s">
        <v>727</v>
      </c>
      <c r="B920" s="463" t="s">
        <v>304</v>
      </c>
      <c r="C920" s="214"/>
      <c r="D920" s="407"/>
      <c r="E920" s="215"/>
      <c r="F920" s="477"/>
      <c r="G920" s="242"/>
    </row>
    <row r="921" spans="1:20" ht="48" x14ac:dyDescent="0.2">
      <c r="A921" s="391" t="s">
        <v>728</v>
      </c>
      <c r="B921" s="213" t="s">
        <v>707</v>
      </c>
      <c r="C921" s="214"/>
      <c r="D921" s="407"/>
      <c r="E921" s="215"/>
      <c r="F921" s="477"/>
      <c r="G921" s="242"/>
    </row>
    <row r="922" spans="1:20" ht="24" x14ac:dyDescent="0.2">
      <c r="A922" s="242"/>
      <c r="B922" s="213" t="s">
        <v>706</v>
      </c>
      <c r="C922" s="214">
        <v>2</v>
      </c>
      <c r="D922" s="407" t="s">
        <v>279</v>
      </c>
      <c r="E922" s="215">
        <v>300000</v>
      </c>
      <c r="F922" s="477">
        <f>E922*C922</f>
        <v>600000</v>
      </c>
      <c r="G922" s="242"/>
    </row>
    <row r="923" spans="1:20" x14ac:dyDescent="0.2">
      <c r="A923" s="242"/>
      <c r="B923" s="217"/>
      <c r="C923" s="214"/>
      <c r="D923" s="407"/>
      <c r="E923" s="215"/>
      <c r="F923" s="477"/>
      <c r="G923" s="242"/>
    </row>
    <row r="924" spans="1:20" x14ac:dyDescent="0.2">
      <c r="A924" s="242"/>
      <c r="B924" s="1997" t="s">
        <v>26</v>
      </c>
      <c r="C924" s="1997"/>
      <c r="D924" s="1997"/>
      <c r="E924" s="1997"/>
      <c r="F924" s="477">
        <f>SUM(F907:F923)</f>
        <v>7480000</v>
      </c>
      <c r="G924" s="242" t="s">
        <v>2570</v>
      </c>
      <c r="J924" s="457"/>
      <c r="T924" s="457">
        <f>F924</f>
        <v>7480000</v>
      </c>
    </row>
    <row r="926" spans="1:20" x14ac:dyDescent="0.2">
      <c r="A926" s="1762" t="s">
        <v>549</v>
      </c>
      <c r="B926" s="1762"/>
      <c r="C926" s="188" t="s">
        <v>27</v>
      </c>
      <c r="D926" s="1763" t="s">
        <v>1429</v>
      </c>
      <c r="E926" s="1763"/>
      <c r="F926" s="1763"/>
      <c r="G926" s="188"/>
    </row>
    <row r="927" spans="1:20" x14ac:dyDescent="0.2">
      <c r="A927" s="1762" t="s">
        <v>28</v>
      </c>
      <c r="B927" s="1762"/>
      <c r="C927" s="188"/>
      <c r="D927" s="1764" t="s">
        <v>2833</v>
      </c>
      <c r="E927" s="1764"/>
      <c r="F927" s="1764"/>
      <c r="G927" s="188"/>
    </row>
    <row r="928" spans="1:20" x14ac:dyDescent="0.2">
      <c r="A928" s="186"/>
      <c r="B928" s="187"/>
      <c r="C928" s="188"/>
      <c r="D928" s="189"/>
      <c r="E928" s="218"/>
      <c r="F928" s="218"/>
      <c r="G928" s="188"/>
    </row>
    <row r="929" spans="1:7" x14ac:dyDescent="0.2">
      <c r="A929" s="186"/>
      <c r="B929" s="187"/>
      <c r="C929" s="188"/>
      <c r="D929" s="189"/>
      <c r="E929" s="218"/>
      <c r="F929" s="218"/>
      <c r="G929" s="188"/>
    </row>
    <row r="930" spans="1:7" x14ac:dyDescent="0.2">
      <c r="A930" s="1762"/>
      <c r="B930" s="1762"/>
      <c r="C930" s="188"/>
      <c r="D930" s="189"/>
      <c r="E930" s="1762"/>
      <c r="F930" s="1762"/>
      <c r="G930" s="188"/>
    </row>
    <row r="931" spans="1:7" x14ac:dyDescent="0.2">
      <c r="A931" s="1762" t="s">
        <v>29</v>
      </c>
      <c r="B931" s="1762"/>
      <c r="C931" s="188"/>
      <c r="D931" s="1762" t="s">
        <v>2954</v>
      </c>
      <c r="E931" s="1762"/>
      <c r="F931" s="1762"/>
      <c r="G931" s="188"/>
    </row>
    <row r="932" spans="1:7" x14ac:dyDescent="0.2">
      <c r="A932" s="1765" t="s">
        <v>0</v>
      </c>
      <c r="B932" s="1765"/>
      <c r="C932" s="1765"/>
      <c r="D932" s="1765"/>
      <c r="E932" s="1765"/>
      <c r="F932" s="1765"/>
      <c r="G932" s="1765"/>
    </row>
    <row r="933" spans="1:7" x14ac:dyDescent="0.2">
      <c r="A933" s="1765" t="s">
        <v>1</v>
      </c>
      <c r="B933" s="1765"/>
      <c r="C933" s="1765"/>
      <c r="D933" s="1765"/>
      <c r="E933" s="1765"/>
      <c r="F933" s="1765"/>
      <c r="G933" s="1765"/>
    </row>
    <row r="934" spans="1:7" x14ac:dyDescent="0.2">
      <c r="A934" s="1765" t="s">
        <v>1769</v>
      </c>
      <c r="B934" s="1765"/>
      <c r="C934" s="1765"/>
      <c r="D934" s="1765"/>
      <c r="E934" s="1765"/>
      <c r="F934" s="1765"/>
      <c r="G934" s="1765"/>
    </row>
    <row r="935" spans="1:7" x14ac:dyDescent="0.2">
      <c r="F935" s="556"/>
    </row>
    <row r="936" spans="1:7" x14ac:dyDescent="0.2">
      <c r="A936" s="444" t="s">
        <v>261</v>
      </c>
      <c r="B936" s="444" t="s">
        <v>911</v>
      </c>
      <c r="F936" s="556"/>
    </row>
    <row r="937" spans="1:7" x14ac:dyDescent="0.2">
      <c r="A937" s="444" t="s">
        <v>262</v>
      </c>
      <c r="B937" s="444" t="s">
        <v>937</v>
      </c>
      <c r="E937" s="444" t="s">
        <v>6</v>
      </c>
      <c r="F937" s="556" t="s">
        <v>63</v>
      </c>
    </row>
    <row r="938" spans="1:7" ht="36.75" customHeight="1" x14ac:dyDescent="0.2">
      <c r="A938" s="501" t="s">
        <v>263</v>
      </c>
      <c r="B938" s="502" t="s">
        <v>1820</v>
      </c>
      <c r="C938" s="501"/>
      <c r="D938" s="501"/>
      <c r="E938" s="458" t="s">
        <v>9</v>
      </c>
      <c r="F938" s="556" t="s">
        <v>63</v>
      </c>
    </row>
    <row r="939" spans="1:7" ht="24" x14ac:dyDescent="0.2">
      <c r="A939" s="458" t="s">
        <v>457</v>
      </c>
      <c r="B939" s="444" t="s">
        <v>61</v>
      </c>
      <c r="F939" s="556"/>
    </row>
    <row r="940" spans="1:7" x14ac:dyDescent="0.2">
      <c r="A940" s="458" t="s">
        <v>62</v>
      </c>
      <c r="B940" s="444" t="s">
        <v>63</v>
      </c>
      <c r="F940" s="556"/>
    </row>
    <row r="941" spans="1:7" x14ac:dyDescent="0.2">
      <c r="F941" s="556"/>
    </row>
    <row r="942" spans="1:7" x14ac:dyDescent="0.2">
      <c r="A942" s="471" t="s">
        <v>265</v>
      </c>
      <c r="B942" s="471" t="s">
        <v>11</v>
      </c>
      <c r="C942" s="1995" t="s">
        <v>12</v>
      </c>
      <c r="D942" s="1996"/>
      <c r="E942" s="471" t="s">
        <v>13</v>
      </c>
      <c r="F942" s="557" t="s">
        <v>14</v>
      </c>
      <c r="G942" s="471" t="s">
        <v>266</v>
      </c>
    </row>
    <row r="943" spans="1:7" x14ac:dyDescent="0.2">
      <c r="A943" s="471">
        <v>1</v>
      </c>
      <c r="B943" s="471">
        <v>2</v>
      </c>
      <c r="C943" s="1995">
        <v>3</v>
      </c>
      <c r="D943" s="1996"/>
      <c r="E943" s="471">
        <v>4</v>
      </c>
      <c r="F943" s="471">
        <v>5</v>
      </c>
      <c r="G943" s="471">
        <v>6</v>
      </c>
    </row>
    <row r="944" spans="1:7" x14ac:dyDescent="0.2">
      <c r="A944" s="242" t="s">
        <v>720</v>
      </c>
      <c r="B944" s="242" t="s">
        <v>287</v>
      </c>
      <c r="C944" s="474"/>
      <c r="D944" s="503"/>
      <c r="E944" s="242"/>
      <c r="F944" s="476"/>
      <c r="G944" s="242"/>
    </row>
    <row r="945" spans="1:7" x14ac:dyDescent="0.2">
      <c r="A945" s="242" t="s">
        <v>739</v>
      </c>
      <c r="B945" s="463" t="s">
        <v>86</v>
      </c>
      <c r="C945" s="474"/>
      <c r="D945" s="503"/>
      <c r="E945" s="242"/>
      <c r="F945" s="476"/>
      <c r="G945" s="242"/>
    </row>
    <row r="946" spans="1:7" ht="24" x14ac:dyDescent="0.2">
      <c r="A946" s="242"/>
      <c r="B946" s="463" t="s">
        <v>738</v>
      </c>
      <c r="C946" s="474"/>
      <c r="D946" s="503"/>
      <c r="E946" s="242"/>
      <c r="F946" s="476"/>
      <c r="G946" s="242"/>
    </row>
    <row r="947" spans="1:7" x14ac:dyDescent="0.2">
      <c r="A947" s="242"/>
      <c r="B947" s="463" t="s">
        <v>2779</v>
      </c>
      <c r="C947" s="474">
        <v>1</v>
      </c>
      <c r="D947" s="503" t="s">
        <v>89</v>
      </c>
      <c r="E947" s="476">
        <v>70000</v>
      </c>
      <c r="F947" s="476">
        <f>C947*E947</f>
        <v>70000</v>
      </c>
      <c r="G947" s="242"/>
    </row>
    <row r="948" spans="1:7" x14ac:dyDescent="0.2">
      <c r="A948" s="242"/>
      <c r="B948" s="242" t="s">
        <v>2860</v>
      </c>
      <c r="C948" s="474">
        <v>10</v>
      </c>
      <c r="D948" s="503" t="s">
        <v>95</v>
      </c>
      <c r="E948" s="476">
        <v>3600</v>
      </c>
      <c r="F948" s="476">
        <f t="shared" ref="F948:F963" si="19">C948*E948</f>
        <v>36000</v>
      </c>
      <c r="G948" s="242"/>
    </row>
    <row r="949" spans="1:7" x14ac:dyDescent="0.2">
      <c r="A949" s="242"/>
      <c r="B949" s="242" t="s">
        <v>1776</v>
      </c>
      <c r="C949" s="474">
        <v>10</v>
      </c>
      <c r="D949" s="503" t="s">
        <v>95</v>
      </c>
      <c r="E949" s="476">
        <v>6000</v>
      </c>
      <c r="F949" s="476">
        <f t="shared" si="19"/>
        <v>60000</v>
      </c>
      <c r="G949" s="242"/>
    </row>
    <row r="950" spans="1:7" x14ac:dyDescent="0.2">
      <c r="A950" s="242"/>
      <c r="B950" s="242" t="s">
        <v>1772</v>
      </c>
      <c r="C950" s="474">
        <v>10</v>
      </c>
      <c r="D950" s="503" t="s">
        <v>95</v>
      </c>
      <c r="E950" s="476">
        <v>27000</v>
      </c>
      <c r="F950" s="476">
        <f t="shared" si="19"/>
        <v>270000</v>
      </c>
      <c r="G950" s="242"/>
    </row>
    <row r="951" spans="1:7" x14ac:dyDescent="0.2">
      <c r="A951" s="242"/>
      <c r="B951" s="242" t="s">
        <v>1773</v>
      </c>
      <c r="C951" s="474">
        <v>5</v>
      </c>
      <c r="D951" s="503" t="s">
        <v>95</v>
      </c>
      <c r="E951" s="476">
        <v>8800</v>
      </c>
      <c r="F951" s="476">
        <f t="shared" si="19"/>
        <v>44000</v>
      </c>
      <c r="G951" s="242"/>
    </row>
    <row r="952" spans="1:7" x14ac:dyDescent="0.2">
      <c r="A952" s="242"/>
      <c r="B952" s="242" t="s">
        <v>1260</v>
      </c>
      <c r="C952" s="474">
        <v>200</v>
      </c>
      <c r="D952" s="503" t="s">
        <v>276</v>
      </c>
      <c r="E952" s="476">
        <v>400</v>
      </c>
      <c r="F952" s="476">
        <f t="shared" si="19"/>
        <v>80000</v>
      </c>
      <c r="G952" s="242"/>
    </row>
    <row r="953" spans="1:7" x14ac:dyDescent="0.2">
      <c r="A953" s="242"/>
      <c r="B953" s="242"/>
      <c r="C953" s="474"/>
      <c r="D953" s="503"/>
      <c r="E953" s="476"/>
      <c r="F953" s="476"/>
      <c r="G953" s="242"/>
    </row>
    <row r="954" spans="1:7" ht="24" x14ac:dyDescent="0.2">
      <c r="A954" s="242" t="s">
        <v>722</v>
      </c>
      <c r="B954" s="463" t="s">
        <v>317</v>
      </c>
      <c r="C954" s="474"/>
      <c r="D954" s="503"/>
      <c r="E954" s="476"/>
      <c r="F954" s="476"/>
      <c r="G954" s="242"/>
    </row>
    <row r="955" spans="1:7" ht="24" x14ac:dyDescent="0.2">
      <c r="A955" s="242"/>
      <c r="B955" s="463" t="s">
        <v>1821</v>
      </c>
      <c r="C955" s="474">
        <v>10</v>
      </c>
      <c r="D955" s="503" t="s">
        <v>279</v>
      </c>
      <c r="E955" s="476">
        <v>30000</v>
      </c>
      <c r="F955" s="476">
        <f t="shared" si="19"/>
        <v>300000</v>
      </c>
      <c r="G955" s="242"/>
    </row>
    <row r="956" spans="1:7" x14ac:dyDescent="0.2">
      <c r="A956" s="242"/>
      <c r="B956" s="242"/>
      <c r="C956" s="474"/>
      <c r="D956" s="503"/>
      <c r="E956" s="476"/>
      <c r="F956" s="476"/>
      <c r="G956" s="242"/>
    </row>
    <row r="957" spans="1:7" ht="24" x14ac:dyDescent="0.2">
      <c r="A957" s="242" t="s">
        <v>724</v>
      </c>
      <c r="B957" s="463" t="s">
        <v>337</v>
      </c>
      <c r="C957" s="474"/>
      <c r="D957" s="503"/>
      <c r="E957" s="476"/>
      <c r="F957" s="476"/>
      <c r="G957" s="242"/>
    </row>
    <row r="958" spans="1:7" x14ac:dyDescent="0.2">
      <c r="A958" s="242"/>
      <c r="B958" s="242" t="s">
        <v>338</v>
      </c>
      <c r="C958" s="474">
        <v>1</v>
      </c>
      <c r="D958" s="503" t="s">
        <v>95</v>
      </c>
      <c r="E958" s="476">
        <v>90000</v>
      </c>
      <c r="F958" s="476">
        <f t="shared" si="19"/>
        <v>90000</v>
      </c>
      <c r="G958" s="242"/>
    </row>
    <row r="959" spans="1:7" x14ac:dyDescent="0.2">
      <c r="A959" s="242"/>
      <c r="B959" s="242"/>
      <c r="C959" s="474"/>
      <c r="D959" s="503"/>
      <c r="E959" s="476"/>
      <c r="F959" s="476"/>
      <c r="G959" s="242"/>
    </row>
    <row r="960" spans="1:7" x14ac:dyDescent="0.2">
      <c r="A960" s="242"/>
      <c r="B960" s="242"/>
      <c r="C960" s="474"/>
      <c r="D960" s="503"/>
      <c r="E960" s="476"/>
      <c r="F960" s="476"/>
      <c r="G960" s="242"/>
    </row>
    <row r="961" spans="1:19" x14ac:dyDescent="0.2">
      <c r="A961" s="242" t="s">
        <v>727</v>
      </c>
      <c r="B961" s="242" t="s">
        <v>374</v>
      </c>
      <c r="C961" s="474"/>
      <c r="D961" s="503"/>
      <c r="E961" s="476"/>
      <c r="F961" s="476"/>
      <c r="G961" s="242"/>
    </row>
    <row r="962" spans="1:19" ht="36" x14ac:dyDescent="0.2">
      <c r="A962" s="242" t="s">
        <v>758</v>
      </c>
      <c r="B962" s="463" t="s">
        <v>439</v>
      </c>
      <c r="C962" s="474"/>
      <c r="D962" s="503"/>
      <c r="E962" s="476"/>
      <c r="F962" s="476"/>
      <c r="G962" s="242"/>
    </row>
    <row r="963" spans="1:19" x14ac:dyDescent="0.2">
      <c r="A963" s="242"/>
      <c r="B963" s="242" t="s">
        <v>1775</v>
      </c>
      <c r="C963" s="474">
        <v>2</v>
      </c>
      <c r="D963" s="503" t="s">
        <v>419</v>
      </c>
      <c r="E963" s="476">
        <v>300000</v>
      </c>
      <c r="F963" s="476">
        <f t="shared" si="19"/>
        <v>600000</v>
      </c>
      <c r="G963" s="242"/>
    </row>
    <row r="964" spans="1:19" x14ac:dyDescent="0.2">
      <c r="A964" s="242"/>
      <c r="B964" s="242"/>
      <c r="C964" s="474"/>
      <c r="D964" s="503"/>
      <c r="E964" s="504"/>
      <c r="F964" s="476"/>
      <c r="G964" s="242"/>
    </row>
    <row r="965" spans="1:19" x14ac:dyDescent="0.2">
      <c r="A965" s="242"/>
      <c r="B965" s="242" t="s">
        <v>26</v>
      </c>
      <c r="C965" s="474"/>
      <c r="D965" s="503"/>
      <c r="E965" s="504"/>
      <c r="F965" s="476">
        <f>SUM(F947:F964)</f>
        <v>1550000</v>
      </c>
      <c r="G965" s="242" t="s">
        <v>1409</v>
      </c>
      <c r="H965" s="444" t="s">
        <v>2751</v>
      </c>
      <c r="K965" s="637">
        <f>F965</f>
        <v>1550000</v>
      </c>
      <c r="L965" s="637"/>
      <c r="S965" s="637"/>
    </row>
    <row r="966" spans="1:19" x14ac:dyDescent="0.2">
      <c r="F966" s="556"/>
      <c r="H966" s="444" t="s">
        <v>2755</v>
      </c>
    </row>
    <row r="967" spans="1:19" x14ac:dyDescent="0.2">
      <c r="A967" s="1762" t="s">
        <v>549</v>
      </c>
      <c r="B967" s="1762"/>
      <c r="C967" s="188" t="s">
        <v>27</v>
      </c>
      <c r="D967" s="1763" t="s">
        <v>1429</v>
      </c>
      <c r="E967" s="1763"/>
      <c r="F967" s="1763"/>
      <c r="G967" s="188"/>
    </row>
    <row r="968" spans="1:19" x14ac:dyDescent="0.2">
      <c r="A968" s="1762" t="s">
        <v>28</v>
      </c>
      <c r="B968" s="1762"/>
      <c r="C968" s="188"/>
      <c r="D968" s="1764" t="s">
        <v>2833</v>
      </c>
      <c r="E968" s="1764"/>
      <c r="F968" s="1764"/>
      <c r="G968" s="188"/>
    </row>
    <row r="969" spans="1:19" x14ac:dyDescent="0.2">
      <c r="A969" s="186"/>
      <c r="B969" s="187"/>
      <c r="C969" s="188"/>
      <c r="D969" s="189"/>
      <c r="E969" s="218"/>
      <c r="F969" s="218"/>
      <c r="G969" s="188"/>
    </row>
    <row r="970" spans="1:19" x14ac:dyDescent="0.2">
      <c r="A970" s="186"/>
      <c r="B970" s="187"/>
      <c r="C970" s="188"/>
      <c r="D970" s="189"/>
      <c r="E970" s="218"/>
      <c r="F970" s="218"/>
      <c r="G970" s="188"/>
    </row>
    <row r="971" spans="1:19" x14ac:dyDescent="0.2">
      <c r="A971" s="1762"/>
      <c r="B971" s="1762"/>
      <c r="C971" s="188"/>
      <c r="D971" s="189"/>
      <c r="E971" s="1762"/>
      <c r="F971" s="1762"/>
      <c r="G971" s="188"/>
    </row>
    <row r="972" spans="1:19" x14ac:dyDescent="0.2">
      <c r="A972" s="1762" t="s">
        <v>29</v>
      </c>
      <c r="B972" s="1762"/>
      <c r="C972" s="188"/>
      <c r="D972" s="1762" t="s">
        <v>2954</v>
      </c>
      <c r="E972" s="1762"/>
      <c r="F972" s="1762"/>
      <c r="G972" s="188"/>
    </row>
    <row r="973" spans="1:19" customFormat="1" ht="15" x14ac:dyDescent="0.25">
      <c r="A973" s="1765" t="s">
        <v>0</v>
      </c>
      <c r="B973" s="1765"/>
      <c r="C973" s="1765"/>
      <c r="D973" s="1765"/>
      <c r="E973" s="1765"/>
      <c r="F973" s="1765"/>
    </row>
    <row r="974" spans="1:19" customFormat="1" ht="15" x14ac:dyDescent="0.25">
      <c r="A974" s="1765" t="s">
        <v>1</v>
      </c>
      <c r="B974" s="1765"/>
      <c r="C974" s="1765"/>
      <c r="D974" s="1765"/>
      <c r="E974" s="1765"/>
      <c r="F974" s="1765"/>
    </row>
    <row r="975" spans="1:19" customFormat="1" ht="15" x14ac:dyDescent="0.25">
      <c r="A975" s="1765" t="s">
        <v>1769</v>
      </c>
      <c r="B975" s="1765"/>
      <c r="C975" s="1765"/>
      <c r="D975" s="1765"/>
      <c r="E975" s="1765"/>
      <c r="F975" s="1765"/>
    </row>
    <row r="976" spans="1:19" customFormat="1" ht="15" x14ac:dyDescent="0.25">
      <c r="A976" s="184"/>
      <c r="B976" s="184"/>
      <c r="C976" s="184"/>
      <c r="D976" s="184"/>
      <c r="E976" s="184"/>
      <c r="F976" s="184"/>
    </row>
    <row r="977" spans="1:7" customFormat="1" ht="15" x14ac:dyDescent="0.25">
      <c r="A977" s="185" t="s">
        <v>805</v>
      </c>
      <c r="B977" s="185" t="s">
        <v>689</v>
      </c>
      <c r="C977" s="185"/>
      <c r="D977" s="185"/>
      <c r="E977" s="190" t="s">
        <v>6</v>
      </c>
      <c r="F977" s="190"/>
    </row>
    <row r="978" spans="1:7" customFormat="1" ht="15" x14ac:dyDescent="0.25">
      <c r="A978" s="385" t="s">
        <v>247</v>
      </c>
      <c r="B978" s="385" t="s">
        <v>688</v>
      </c>
      <c r="C978" s="385"/>
      <c r="D978" s="184"/>
      <c r="E978" s="558" t="s">
        <v>515</v>
      </c>
      <c r="F978" s="558"/>
    </row>
    <row r="979" spans="1:7" customFormat="1" ht="48" x14ac:dyDescent="0.25">
      <c r="A979" s="507" t="s">
        <v>804</v>
      </c>
      <c r="B979" s="505" t="s">
        <v>2564</v>
      </c>
      <c r="C979" s="385"/>
      <c r="D979" s="184"/>
      <c r="E979" s="223"/>
      <c r="F979" s="223"/>
    </row>
    <row r="980" spans="1:7" customFormat="1" ht="15" x14ac:dyDescent="0.25">
      <c r="A980" s="185" t="s">
        <v>521</v>
      </c>
      <c r="B980" s="185" t="s">
        <v>546</v>
      </c>
      <c r="C980" s="185"/>
      <c r="D980" s="185"/>
      <c r="E980" s="185"/>
      <c r="F980" s="185"/>
    </row>
    <row r="981" spans="1:7" customFormat="1" ht="15" x14ac:dyDescent="0.25">
      <c r="A981" s="1893" t="s">
        <v>503</v>
      </c>
      <c r="B981" s="1893"/>
      <c r="C981" s="185"/>
      <c r="D981" s="184"/>
      <c r="E981" s="559"/>
      <c r="F981" s="185"/>
    </row>
    <row r="982" spans="1:7" customFormat="1" ht="15" x14ac:dyDescent="0.25">
      <c r="A982" s="385"/>
      <c r="B982" s="385"/>
      <c r="C982" s="185"/>
      <c r="D982" s="184"/>
      <c r="E982" s="559"/>
      <c r="F982" s="185"/>
    </row>
    <row r="983" spans="1:7" customFormat="1" ht="24" x14ac:dyDescent="0.25">
      <c r="A983" s="461" t="s">
        <v>30</v>
      </c>
      <c r="B983" s="461" t="s">
        <v>11</v>
      </c>
      <c r="C983" s="1972" t="s">
        <v>12</v>
      </c>
      <c r="D983" s="1973"/>
      <c r="E983" s="560" t="s">
        <v>13</v>
      </c>
      <c r="F983" s="461" t="s">
        <v>14</v>
      </c>
      <c r="G983" s="471" t="s">
        <v>266</v>
      </c>
    </row>
    <row r="984" spans="1:7" customFormat="1" ht="15" x14ac:dyDescent="0.25">
      <c r="A984" s="200">
        <v>1</v>
      </c>
      <c r="B984" s="200">
        <v>2</v>
      </c>
      <c r="C984" s="1789">
        <v>3</v>
      </c>
      <c r="D984" s="1789"/>
      <c r="E984" s="201">
        <v>4</v>
      </c>
      <c r="F984" s="200">
        <v>5</v>
      </c>
      <c r="G984" s="471">
        <v>6</v>
      </c>
    </row>
    <row r="985" spans="1:7" customFormat="1" ht="15" x14ac:dyDescent="0.25">
      <c r="A985" s="200"/>
      <c r="B985" s="391"/>
      <c r="C985" s="419"/>
      <c r="D985" s="420"/>
      <c r="E985" s="201"/>
      <c r="F985" s="200"/>
      <c r="G985" s="1"/>
    </row>
    <row r="986" spans="1:7" customFormat="1" ht="15" x14ac:dyDescent="0.25">
      <c r="A986" s="391" t="s">
        <v>720</v>
      </c>
      <c r="B986" s="391" t="s">
        <v>746</v>
      </c>
      <c r="C986" s="419"/>
      <c r="D986" s="420"/>
      <c r="E986" s="201"/>
      <c r="F986" s="200"/>
      <c r="G986" s="1"/>
    </row>
    <row r="987" spans="1:7" customFormat="1" ht="15" x14ac:dyDescent="0.25">
      <c r="A987" s="391" t="s">
        <v>721</v>
      </c>
      <c r="B987" s="391" t="s">
        <v>745</v>
      </c>
      <c r="C987" s="419"/>
      <c r="D987" s="420"/>
      <c r="E987" s="201"/>
      <c r="F987" s="200"/>
      <c r="G987" s="1"/>
    </row>
    <row r="988" spans="1:7" customFormat="1" ht="24.75" x14ac:dyDescent="0.25">
      <c r="A988" s="391" t="s">
        <v>739</v>
      </c>
      <c r="B988" s="369" t="s">
        <v>1440</v>
      </c>
      <c r="C988" s="419"/>
      <c r="D988" s="420"/>
      <c r="E988" s="201"/>
      <c r="F988" s="200"/>
      <c r="G988" s="1"/>
    </row>
    <row r="989" spans="1:7" customFormat="1" ht="15" x14ac:dyDescent="0.25">
      <c r="A989" s="200"/>
      <c r="B989" s="465" t="s">
        <v>2861</v>
      </c>
      <c r="C989" s="205">
        <v>2</v>
      </c>
      <c r="D989" s="206" t="s">
        <v>89</v>
      </c>
      <c r="E989" s="259">
        <v>70000</v>
      </c>
      <c r="F989" s="259">
        <f>C989*E989</f>
        <v>140000</v>
      </c>
      <c r="G989" s="1"/>
    </row>
    <row r="990" spans="1:7" customFormat="1" ht="15" x14ac:dyDescent="0.25">
      <c r="A990" s="200"/>
      <c r="B990" s="465" t="s">
        <v>271</v>
      </c>
      <c r="C990" s="205">
        <v>12</v>
      </c>
      <c r="D990" s="206" t="s">
        <v>110</v>
      </c>
      <c r="E990" s="259">
        <v>3600</v>
      </c>
      <c r="F990" s="259">
        <f>C990*E990</f>
        <v>43200</v>
      </c>
      <c r="G990" s="1"/>
    </row>
    <row r="991" spans="1:7" customFormat="1" ht="15" x14ac:dyDescent="0.25">
      <c r="A991" s="222"/>
      <c r="B991" s="465"/>
      <c r="C991" s="205"/>
      <c r="D991" s="206"/>
      <c r="E991" s="259"/>
      <c r="F991" s="259"/>
      <c r="G991" s="1"/>
    </row>
    <row r="992" spans="1:7" customFormat="1" ht="24.75" x14ac:dyDescent="0.25">
      <c r="A992" s="391" t="s">
        <v>722</v>
      </c>
      <c r="B992" s="213" t="s">
        <v>799</v>
      </c>
      <c r="C992" s="214"/>
      <c r="D992" s="244"/>
      <c r="E992" s="215"/>
      <c r="F992" s="259"/>
      <c r="G992" s="1"/>
    </row>
    <row r="993" spans="1:19" customFormat="1" ht="15" x14ac:dyDescent="0.25">
      <c r="A993" s="257"/>
      <c r="B993" s="217" t="s">
        <v>2862</v>
      </c>
      <c r="C993" s="214">
        <v>20</v>
      </c>
      <c r="D993" s="244" t="s">
        <v>798</v>
      </c>
      <c r="E993" s="215">
        <v>15000</v>
      </c>
      <c r="F993" s="259">
        <f>E993*C993</f>
        <v>300000</v>
      </c>
      <c r="G993" s="1"/>
      <c r="H993" t="s">
        <v>2756</v>
      </c>
    </row>
    <row r="994" spans="1:19" customFormat="1" ht="15" x14ac:dyDescent="0.25">
      <c r="A994" s="257"/>
      <c r="B994" s="217"/>
      <c r="C994" s="214"/>
      <c r="D994" s="244"/>
      <c r="E994" s="215"/>
      <c r="F994" s="259"/>
      <c r="G994" s="1"/>
    </row>
    <row r="995" spans="1:19" customFormat="1" ht="15" x14ac:dyDescent="0.25">
      <c r="A995" s="391" t="s">
        <v>727</v>
      </c>
      <c r="B995" s="213" t="s">
        <v>304</v>
      </c>
      <c r="C995" s="214"/>
      <c r="D995" s="407"/>
      <c r="E995" s="426"/>
      <c r="F995" s="259"/>
      <c r="G995" s="1"/>
    </row>
    <row r="996" spans="1:19" customFormat="1" ht="36.75" x14ac:dyDescent="0.25">
      <c r="A996" s="391" t="s">
        <v>730</v>
      </c>
      <c r="B996" s="213" t="s">
        <v>791</v>
      </c>
      <c r="C996" s="214"/>
      <c r="D996" s="407"/>
      <c r="E996" s="426"/>
      <c r="F996" s="259"/>
      <c r="G996" s="1"/>
    </row>
    <row r="997" spans="1:19" customFormat="1" ht="15" x14ac:dyDescent="0.25">
      <c r="A997" s="222"/>
      <c r="B997" s="213" t="s">
        <v>429</v>
      </c>
      <c r="C997" s="214">
        <v>1</v>
      </c>
      <c r="D997" s="407"/>
      <c r="E997" s="426">
        <v>300000</v>
      </c>
      <c r="F997" s="259">
        <f>E997*C997</f>
        <v>300000</v>
      </c>
      <c r="G997" s="1"/>
    </row>
    <row r="998" spans="1:19" customFormat="1" ht="15" x14ac:dyDescent="0.25">
      <c r="A998" s="222"/>
      <c r="B998" s="213" t="s">
        <v>535</v>
      </c>
      <c r="C998" s="214">
        <v>1</v>
      </c>
      <c r="D998" s="407"/>
      <c r="E998" s="426">
        <v>250000</v>
      </c>
      <c r="F998" s="259">
        <f>E998*C998</f>
        <v>250000</v>
      </c>
      <c r="G998" s="1"/>
    </row>
    <row r="999" spans="1:19" customFormat="1" ht="15" x14ac:dyDescent="0.25">
      <c r="A999" s="222"/>
      <c r="B999" s="217" t="s">
        <v>518</v>
      </c>
      <c r="C999" s="214">
        <v>3</v>
      </c>
      <c r="D999" s="407"/>
      <c r="E999" s="426">
        <v>200000</v>
      </c>
      <c r="F999" s="259">
        <f>E999*C999</f>
        <v>600000</v>
      </c>
      <c r="G999" s="1"/>
    </row>
    <row r="1000" spans="1:19" customFormat="1" ht="15" x14ac:dyDescent="0.25">
      <c r="A1000" s="391" t="s">
        <v>2416</v>
      </c>
      <c r="B1000" s="258" t="s">
        <v>354</v>
      </c>
      <c r="C1000" s="561"/>
      <c r="D1000" s="562"/>
      <c r="E1000" s="563"/>
      <c r="F1000" s="563"/>
      <c r="G1000" s="1"/>
    </row>
    <row r="1001" spans="1:19" customFormat="1" ht="15" x14ac:dyDescent="0.25">
      <c r="A1001" s="222"/>
      <c r="B1001" s="258" t="s">
        <v>2708</v>
      </c>
      <c r="C1001" s="214">
        <v>20</v>
      </c>
      <c r="D1001" s="407" t="s">
        <v>279</v>
      </c>
      <c r="E1001" s="215">
        <v>150000</v>
      </c>
      <c r="F1001" s="259">
        <f>E1001*C1001</f>
        <v>3000000</v>
      </c>
      <c r="G1001" s="1"/>
    </row>
    <row r="1002" spans="1:19" customFormat="1" ht="15" x14ac:dyDescent="0.25">
      <c r="A1002" s="222"/>
      <c r="B1002" s="258"/>
      <c r="C1002" s="214"/>
      <c r="D1002" s="407"/>
      <c r="E1002" s="215"/>
      <c r="F1002" s="259"/>
      <c r="G1002" s="1"/>
    </row>
    <row r="1003" spans="1:19" customFormat="1" ht="15" x14ac:dyDescent="0.25">
      <c r="A1003" s="222"/>
      <c r="B1003" s="217"/>
      <c r="C1003" s="214"/>
      <c r="D1003" s="244"/>
      <c r="E1003" s="215"/>
      <c r="F1003" s="368"/>
      <c r="G1003" s="1"/>
    </row>
    <row r="1004" spans="1:19" customFormat="1" ht="15" x14ac:dyDescent="0.25">
      <c r="A1004" s="433"/>
      <c r="B1004" s="1841" t="s">
        <v>26</v>
      </c>
      <c r="C1004" s="1992"/>
      <c r="D1004" s="1992"/>
      <c r="E1004" s="1992"/>
      <c r="F1004" s="408">
        <f>SUM(F985:F1003)</f>
        <v>4633200</v>
      </c>
      <c r="G1004" s="1" t="s">
        <v>1845</v>
      </c>
      <c r="L1004" s="32">
        <f>F1004</f>
        <v>4633200</v>
      </c>
      <c r="S1004" s="32"/>
    </row>
    <row r="1005" spans="1:19" x14ac:dyDescent="0.2">
      <c r="F1005" s="556"/>
    </row>
    <row r="1006" spans="1:19" x14ac:dyDescent="0.2">
      <c r="A1006" s="1762" t="s">
        <v>549</v>
      </c>
      <c r="B1006" s="1762"/>
      <c r="C1006" s="188" t="s">
        <v>27</v>
      </c>
      <c r="D1006" s="1763" t="s">
        <v>1429</v>
      </c>
      <c r="E1006" s="1763"/>
      <c r="F1006" s="1763"/>
      <c r="G1006" s="188"/>
    </row>
    <row r="1007" spans="1:19" x14ac:dyDescent="0.2">
      <c r="A1007" s="1762" t="s">
        <v>28</v>
      </c>
      <c r="B1007" s="1762"/>
      <c r="C1007" s="188"/>
      <c r="D1007" s="1764" t="s">
        <v>2833</v>
      </c>
      <c r="E1007" s="1764"/>
      <c r="F1007" s="1764"/>
      <c r="G1007" s="188"/>
    </row>
    <row r="1008" spans="1:19" x14ac:dyDescent="0.2">
      <c r="A1008" s="186"/>
      <c r="B1008" s="187"/>
      <c r="C1008" s="188"/>
      <c r="D1008" s="189"/>
      <c r="E1008" s="218"/>
      <c r="F1008" s="218"/>
      <c r="G1008" s="188"/>
    </row>
    <row r="1009" spans="1:7" x14ac:dyDescent="0.2">
      <c r="A1009" s="186"/>
      <c r="B1009" s="187"/>
      <c r="C1009" s="188"/>
      <c r="D1009" s="189"/>
      <c r="E1009" s="218"/>
      <c r="F1009" s="218"/>
      <c r="G1009" s="188"/>
    </row>
    <row r="1010" spans="1:7" x14ac:dyDescent="0.2">
      <c r="A1010" s="1762"/>
      <c r="B1010" s="1762"/>
      <c r="C1010" s="188"/>
      <c r="D1010" s="189"/>
      <c r="E1010" s="1762"/>
      <c r="F1010" s="1762"/>
      <c r="G1010" s="188"/>
    </row>
    <row r="1011" spans="1:7" x14ac:dyDescent="0.2">
      <c r="A1011" s="1762" t="s">
        <v>29</v>
      </c>
      <c r="B1011" s="1762"/>
      <c r="C1011" s="188"/>
      <c r="D1011" s="1762" t="s">
        <v>2954</v>
      </c>
      <c r="E1011" s="1762"/>
      <c r="F1011" s="1762"/>
      <c r="G1011" s="188"/>
    </row>
    <row r="1012" spans="1:7" customFormat="1" ht="15" x14ac:dyDescent="0.25">
      <c r="A1012" s="1991" t="s">
        <v>0</v>
      </c>
      <c r="B1012" s="1991"/>
      <c r="C1012" s="1991"/>
      <c r="D1012" s="1991"/>
      <c r="E1012" s="1991"/>
      <c r="F1012" s="1991"/>
      <c r="G1012" s="116"/>
    </row>
    <row r="1013" spans="1:7" customFormat="1" ht="15" x14ac:dyDescent="0.25">
      <c r="A1013" s="1991" t="s">
        <v>1</v>
      </c>
      <c r="B1013" s="1991"/>
      <c r="C1013" s="1991"/>
      <c r="D1013" s="1991"/>
      <c r="E1013" s="1991"/>
      <c r="F1013" s="1991"/>
      <c r="G1013" s="116"/>
    </row>
    <row r="1014" spans="1:7" customFormat="1" ht="15" x14ac:dyDescent="0.25">
      <c r="A1014" s="1991" t="s">
        <v>1769</v>
      </c>
      <c r="B1014" s="1991"/>
      <c r="C1014" s="1991"/>
      <c r="D1014" s="1991"/>
      <c r="E1014" s="1991"/>
      <c r="F1014" s="1991"/>
      <c r="G1014" s="116"/>
    </row>
    <row r="1015" spans="1:7" customFormat="1" ht="15" x14ac:dyDescent="0.25">
      <c r="A1015" s="1419"/>
      <c r="B1015" s="1419"/>
      <c r="C1015" s="1419"/>
      <c r="D1015" s="1419"/>
      <c r="E1015" s="1419"/>
      <c r="F1015" s="1419"/>
      <c r="G1015" s="116"/>
    </row>
    <row r="1016" spans="1:7" customFormat="1" ht="15" x14ac:dyDescent="0.25">
      <c r="A1016" s="1510" t="s">
        <v>805</v>
      </c>
      <c r="B1016" s="1510" t="s">
        <v>689</v>
      </c>
      <c r="C1016" s="1510"/>
      <c r="D1016" s="1510"/>
      <c r="E1016" s="1511" t="s">
        <v>6</v>
      </c>
      <c r="F1016" s="1511"/>
      <c r="G1016" s="116"/>
    </row>
    <row r="1017" spans="1:7" customFormat="1" ht="15" x14ac:dyDescent="0.25">
      <c r="A1017" s="1318" t="s">
        <v>247</v>
      </c>
      <c r="B1017" s="1318" t="s">
        <v>688</v>
      </c>
      <c r="C1017" s="1318"/>
      <c r="D1017" s="1419"/>
      <c r="E1017" s="1512" t="s">
        <v>515</v>
      </c>
      <c r="F1017" s="1512"/>
      <c r="G1017" s="116"/>
    </row>
    <row r="1018" spans="1:7" customFormat="1" ht="48" x14ac:dyDescent="0.25">
      <c r="A1018" s="1513" t="s">
        <v>804</v>
      </c>
      <c r="B1018" s="1514" t="s">
        <v>2433</v>
      </c>
      <c r="C1018" s="1318"/>
      <c r="D1018" s="1419"/>
      <c r="E1018" s="1370"/>
      <c r="F1018" s="1370"/>
      <c r="G1018" s="116"/>
    </row>
    <row r="1019" spans="1:7" customFormat="1" ht="15" x14ac:dyDescent="0.25">
      <c r="A1019" s="1510" t="s">
        <v>521</v>
      </c>
      <c r="B1019" s="1510" t="s">
        <v>546</v>
      </c>
      <c r="C1019" s="1510"/>
      <c r="D1019" s="1510"/>
      <c r="E1019" s="1510"/>
      <c r="F1019" s="1510"/>
      <c r="G1019" s="116"/>
    </row>
    <row r="1020" spans="1:7" customFormat="1" ht="15" x14ac:dyDescent="0.25">
      <c r="A1020" s="1952" t="s">
        <v>503</v>
      </c>
      <c r="B1020" s="1952"/>
      <c r="C1020" s="1510"/>
      <c r="D1020" s="1419"/>
      <c r="E1020" s="1515"/>
      <c r="F1020" s="1510"/>
      <c r="G1020" s="116"/>
    </row>
    <row r="1021" spans="1:7" customFormat="1" ht="15" x14ac:dyDescent="0.25">
      <c r="A1021" s="1318"/>
      <c r="B1021" s="1318"/>
      <c r="C1021" s="1510"/>
      <c r="D1021" s="1419"/>
      <c r="E1021" s="1515"/>
      <c r="F1021" s="1510"/>
      <c r="G1021" s="116"/>
    </row>
    <row r="1022" spans="1:7" customFormat="1" ht="24" x14ac:dyDescent="0.25">
      <c r="A1022" s="1516" t="s">
        <v>30</v>
      </c>
      <c r="B1022" s="1516" t="s">
        <v>11</v>
      </c>
      <c r="C1022" s="1941" t="s">
        <v>12</v>
      </c>
      <c r="D1022" s="1942"/>
      <c r="E1022" s="1517" t="s">
        <v>13</v>
      </c>
      <c r="F1022" s="1516" t="s">
        <v>14</v>
      </c>
      <c r="G1022" s="1518" t="s">
        <v>266</v>
      </c>
    </row>
    <row r="1023" spans="1:7" customFormat="1" ht="15" x14ac:dyDescent="0.25">
      <c r="A1023" s="1438">
        <v>1</v>
      </c>
      <c r="B1023" s="1438">
        <v>2</v>
      </c>
      <c r="C1023" s="1956">
        <v>3</v>
      </c>
      <c r="D1023" s="1956"/>
      <c r="E1023" s="1519">
        <v>4</v>
      </c>
      <c r="F1023" s="1438">
        <v>5</v>
      </c>
      <c r="G1023" s="1518">
        <v>6</v>
      </c>
    </row>
    <row r="1024" spans="1:7" customFormat="1" ht="15" x14ac:dyDescent="0.25">
      <c r="A1024" s="1027" t="s">
        <v>720</v>
      </c>
      <c r="B1024" s="1027" t="s">
        <v>287</v>
      </c>
      <c r="C1024" s="1027"/>
      <c r="D1024" s="1027"/>
      <c r="E1024" s="1027"/>
      <c r="F1024" s="1027"/>
      <c r="G1024" s="1027"/>
    </row>
    <row r="1025" spans="1:7" customFormat="1" ht="30" x14ac:dyDescent="0.25">
      <c r="A1025" s="1027" t="s">
        <v>721</v>
      </c>
      <c r="B1025" s="1028" t="s">
        <v>86</v>
      </c>
      <c r="C1025" s="1027"/>
      <c r="D1025" s="1027"/>
      <c r="E1025" s="1027"/>
      <c r="F1025" s="1027"/>
      <c r="G1025" s="1027"/>
    </row>
    <row r="1026" spans="1:7" customFormat="1" ht="30" x14ac:dyDescent="0.25">
      <c r="A1026" s="1027" t="s">
        <v>739</v>
      </c>
      <c r="B1026" s="1028" t="s">
        <v>738</v>
      </c>
      <c r="C1026" s="1027"/>
      <c r="D1026" s="1027"/>
      <c r="E1026" s="1027"/>
      <c r="F1026" s="1027"/>
      <c r="G1026" s="1027"/>
    </row>
    <row r="1027" spans="1:7" customFormat="1" ht="30" x14ac:dyDescent="0.25">
      <c r="A1027" s="1027"/>
      <c r="B1027" s="1028" t="s">
        <v>1813</v>
      </c>
      <c r="C1027" s="1027">
        <v>1</v>
      </c>
      <c r="D1027" s="1027" t="s">
        <v>89</v>
      </c>
      <c r="E1027" s="1520">
        <v>79000</v>
      </c>
      <c r="F1027" s="1520">
        <f>C1027*E1027</f>
        <v>79000</v>
      </c>
      <c r="G1027" s="1027"/>
    </row>
    <row r="1028" spans="1:7" customFormat="1" ht="15" x14ac:dyDescent="0.25">
      <c r="A1028" s="1027"/>
      <c r="B1028" s="1027" t="s">
        <v>271</v>
      </c>
      <c r="C1028" s="1027">
        <v>5</v>
      </c>
      <c r="D1028" s="1027" t="s">
        <v>95</v>
      </c>
      <c r="E1028" s="1520">
        <v>4500</v>
      </c>
      <c r="F1028" s="1520">
        <f t="shared" ref="F1028:F1043" si="20">C1028*E1028</f>
        <v>22500</v>
      </c>
      <c r="G1028" s="1027"/>
    </row>
    <row r="1029" spans="1:7" customFormat="1" ht="15" x14ac:dyDescent="0.25">
      <c r="A1029" s="1027"/>
      <c r="B1029" s="1027" t="s">
        <v>109</v>
      </c>
      <c r="C1029" s="1027">
        <v>5</v>
      </c>
      <c r="D1029" s="1027" t="s">
        <v>95</v>
      </c>
      <c r="E1029" s="1520">
        <v>10000</v>
      </c>
      <c r="F1029" s="1520">
        <f t="shared" si="20"/>
        <v>50000</v>
      </c>
      <c r="G1029" s="1027"/>
    </row>
    <row r="1030" spans="1:7" customFormat="1" ht="15" x14ac:dyDescent="0.25">
      <c r="A1030" s="1027"/>
      <c r="B1030" s="1027" t="s">
        <v>581</v>
      </c>
      <c r="C1030" s="1027">
        <v>5</v>
      </c>
      <c r="D1030" s="1027" t="s">
        <v>95</v>
      </c>
      <c r="E1030" s="1520">
        <v>15000</v>
      </c>
      <c r="F1030" s="1520">
        <f t="shared" si="20"/>
        <v>75000</v>
      </c>
      <c r="G1030" s="1027"/>
    </row>
    <row r="1031" spans="1:7" customFormat="1" ht="15" x14ac:dyDescent="0.25">
      <c r="A1031" s="1027"/>
      <c r="B1031" s="1027" t="s">
        <v>590</v>
      </c>
      <c r="C1031" s="1027">
        <v>5</v>
      </c>
      <c r="D1031" s="1027" t="s">
        <v>95</v>
      </c>
      <c r="E1031" s="1520">
        <v>6000</v>
      </c>
      <c r="F1031" s="1520">
        <f t="shared" si="20"/>
        <v>30000</v>
      </c>
      <c r="G1031" s="1027"/>
    </row>
    <row r="1032" spans="1:7" customFormat="1" ht="15" x14ac:dyDescent="0.25">
      <c r="A1032" s="1027"/>
      <c r="B1032" s="1027" t="s">
        <v>1260</v>
      </c>
      <c r="C1032" s="1027">
        <v>300</v>
      </c>
      <c r="D1032" s="1027" t="s">
        <v>276</v>
      </c>
      <c r="E1032" s="1520">
        <v>250</v>
      </c>
      <c r="F1032" s="1520">
        <f t="shared" si="20"/>
        <v>75000</v>
      </c>
      <c r="G1032" s="1027"/>
    </row>
    <row r="1033" spans="1:7" customFormat="1" ht="15" x14ac:dyDescent="0.25">
      <c r="A1033" s="1027"/>
      <c r="B1033" s="1027"/>
      <c r="C1033" s="1027"/>
      <c r="D1033" s="1027"/>
      <c r="E1033" s="1520"/>
      <c r="F1033" s="1520"/>
      <c r="G1033" s="1027"/>
    </row>
    <row r="1034" spans="1:7" customFormat="1" ht="30" x14ac:dyDescent="0.25">
      <c r="A1034" s="1027" t="s">
        <v>722</v>
      </c>
      <c r="B1034" s="1028" t="s">
        <v>317</v>
      </c>
      <c r="C1034" s="1027"/>
      <c r="D1034" s="1027"/>
      <c r="E1034" s="1520"/>
      <c r="F1034" s="1520"/>
      <c r="G1034" s="1027"/>
    </row>
    <row r="1035" spans="1:7" customFormat="1" ht="60" x14ac:dyDescent="0.25">
      <c r="A1035" s="1027"/>
      <c r="B1035" s="1028" t="s">
        <v>2766</v>
      </c>
      <c r="C1035" s="1027">
        <v>10</v>
      </c>
      <c r="D1035" s="1027" t="s">
        <v>279</v>
      </c>
      <c r="E1035" s="1520">
        <v>30000</v>
      </c>
      <c r="F1035" s="1520">
        <f t="shared" si="20"/>
        <v>300000</v>
      </c>
      <c r="G1035" s="1027"/>
    </row>
    <row r="1036" spans="1:7" customFormat="1" ht="15" x14ac:dyDescent="0.25">
      <c r="A1036" s="1027"/>
      <c r="B1036" s="1027"/>
      <c r="C1036" s="1027"/>
      <c r="D1036" s="1027"/>
      <c r="E1036" s="1520"/>
      <c r="F1036" s="1520"/>
      <c r="G1036" s="1027"/>
    </row>
    <row r="1037" spans="1:7" customFormat="1" ht="45" x14ac:dyDescent="0.25">
      <c r="A1037" s="1027" t="s">
        <v>724</v>
      </c>
      <c r="B1037" s="1028" t="s">
        <v>337</v>
      </c>
      <c r="C1037" s="1027"/>
      <c r="D1037" s="1027"/>
      <c r="E1037" s="1520"/>
      <c r="F1037" s="1520"/>
      <c r="G1037" s="1027"/>
    </row>
    <row r="1038" spans="1:7" customFormat="1" ht="15" x14ac:dyDescent="0.25">
      <c r="A1038" s="1027"/>
      <c r="B1038" s="1027" t="s">
        <v>338</v>
      </c>
      <c r="C1038" s="1027">
        <v>1</v>
      </c>
      <c r="D1038" s="1027" t="s">
        <v>95</v>
      </c>
      <c r="E1038" s="1520">
        <v>90000</v>
      </c>
      <c r="F1038" s="1520">
        <f t="shared" si="20"/>
        <v>90000</v>
      </c>
      <c r="G1038" s="1027"/>
    </row>
    <row r="1039" spans="1:7" customFormat="1" ht="15" x14ac:dyDescent="0.25">
      <c r="A1039" s="1027"/>
      <c r="B1039" s="1027"/>
      <c r="C1039" s="1027"/>
      <c r="D1039" s="1027"/>
      <c r="E1039" s="1520"/>
      <c r="F1039" s="1520"/>
      <c r="G1039" s="1027"/>
    </row>
    <row r="1040" spans="1:7" customFormat="1" ht="15" x14ac:dyDescent="0.25">
      <c r="A1040" s="1027"/>
      <c r="B1040" s="1027"/>
      <c r="C1040" s="1027"/>
      <c r="D1040" s="1027"/>
      <c r="E1040" s="1520"/>
      <c r="F1040" s="1520"/>
      <c r="G1040" s="1027"/>
    </row>
    <row r="1041" spans="1:19" customFormat="1" ht="15" x14ac:dyDescent="0.25">
      <c r="A1041" s="1027" t="s">
        <v>727</v>
      </c>
      <c r="B1041" s="1027" t="s">
        <v>374</v>
      </c>
      <c r="C1041" s="1027"/>
      <c r="D1041" s="1027"/>
      <c r="E1041" s="1520"/>
      <c r="F1041" s="1520"/>
      <c r="G1041" s="1027"/>
    </row>
    <row r="1042" spans="1:19" customFormat="1" ht="60" x14ac:dyDescent="0.25">
      <c r="A1042" s="1027" t="s">
        <v>758</v>
      </c>
      <c r="B1042" s="1028" t="s">
        <v>439</v>
      </c>
      <c r="C1042" s="1027"/>
      <c r="D1042" s="1027"/>
      <c r="E1042" s="1520"/>
      <c r="F1042" s="1520"/>
      <c r="G1042" s="1027"/>
    </row>
    <row r="1043" spans="1:19" customFormat="1" ht="15" x14ac:dyDescent="0.25">
      <c r="A1043" s="1027"/>
      <c r="B1043" s="1027" t="s">
        <v>1775</v>
      </c>
      <c r="C1043" s="1027">
        <v>2</v>
      </c>
      <c r="D1043" s="1027" t="s">
        <v>419</v>
      </c>
      <c r="E1043" s="1520">
        <v>300000</v>
      </c>
      <c r="F1043" s="1520">
        <f t="shared" si="20"/>
        <v>600000</v>
      </c>
      <c r="G1043" s="1027"/>
    </row>
    <row r="1044" spans="1:19" customFormat="1" ht="30" x14ac:dyDescent="0.25">
      <c r="A1044" s="1027"/>
      <c r="B1044" s="1027"/>
      <c r="C1044" s="1027"/>
      <c r="D1044" s="1027"/>
      <c r="E1044" s="1520"/>
      <c r="F1044" s="1520"/>
      <c r="G1044" s="1027"/>
      <c r="H1044" s="5" t="s">
        <v>2765</v>
      </c>
    </row>
    <row r="1045" spans="1:19" customFormat="1" ht="15" x14ac:dyDescent="0.25">
      <c r="A1045" s="1027"/>
      <c r="B1045" s="1027" t="s">
        <v>26</v>
      </c>
      <c r="C1045" s="1027"/>
      <c r="D1045" s="1027"/>
      <c r="E1045" s="1520"/>
      <c r="F1045" s="1520"/>
      <c r="G1045" s="1027" t="s">
        <v>2569</v>
      </c>
      <c r="L1045" s="575"/>
      <c r="M1045" s="575"/>
      <c r="S1045" s="575"/>
    </row>
    <row r="1046" spans="1:19" x14ac:dyDescent="0.2">
      <c r="A1046" s="1521"/>
      <c r="B1046" s="1521"/>
      <c r="C1046" s="1521"/>
      <c r="D1046" s="1521"/>
      <c r="E1046" s="1521"/>
      <c r="F1046" s="1522"/>
      <c r="G1046" s="1521"/>
    </row>
    <row r="1047" spans="1:19" x14ac:dyDescent="0.2">
      <c r="A1047" s="1933" t="s">
        <v>549</v>
      </c>
      <c r="B1047" s="1933"/>
      <c r="C1047" s="1421" t="s">
        <v>27</v>
      </c>
      <c r="D1047" s="1933" t="s">
        <v>1429</v>
      </c>
      <c r="E1047" s="1933"/>
      <c r="F1047" s="1933"/>
      <c r="G1047" s="1933"/>
    </row>
    <row r="1048" spans="1:19" x14ac:dyDescent="0.2">
      <c r="A1048" s="1933" t="s">
        <v>28</v>
      </c>
      <c r="B1048" s="1933"/>
      <c r="C1048" s="1421"/>
      <c r="D1048" s="1990" t="s">
        <v>1777</v>
      </c>
      <c r="E1048" s="1990"/>
      <c r="F1048" s="1990"/>
      <c r="G1048" s="1990"/>
    </row>
    <row r="1049" spans="1:19" x14ac:dyDescent="0.2">
      <c r="A1049" s="1433"/>
      <c r="B1049" s="1423"/>
      <c r="C1049" s="1421"/>
      <c r="D1049" s="1432"/>
      <c r="E1049" s="1422"/>
      <c r="F1049" s="1422"/>
      <c r="G1049" s="1421"/>
    </row>
    <row r="1050" spans="1:19" x14ac:dyDescent="0.2">
      <c r="A1050" s="1433"/>
      <c r="B1050" s="1423"/>
      <c r="C1050" s="1421"/>
      <c r="D1050" s="1432"/>
      <c r="E1050" s="1422"/>
      <c r="F1050" s="1523"/>
      <c r="G1050" s="1421"/>
    </row>
    <row r="1051" spans="1:19" x14ac:dyDescent="0.2">
      <c r="A1051" s="1933"/>
      <c r="B1051" s="1933"/>
      <c r="C1051" s="1421"/>
      <c r="D1051" s="1432"/>
      <c r="E1051" s="2010"/>
      <c r="F1051" s="1933"/>
      <c r="G1051" s="1421"/>
    </row>
    <row r="1052" spans="1:19" x14ac:dyDescent="0.2">
      <c r="A1052" s="1933" t="s">
        <v>29</v>
      </c>
      <c r="B1052" s="1933"/>
      <c r="C1052" s="1421"/>
      <c r="D1052" s="1933" t="s">
        <v>550</v>
      </c>
      <c r="E1052" s="1933"/>
      <c r="F1052" s="1933"/>
      <c r="G1052" s="1933"/>
    </row>
    <row r="1053" spans="1:19" x14ac:dyDescent="0.2">
      <c r="A1053" s="1765" t="s">
        <v>0</v>
      </c>
      <c r="B1053" s="1765"/>
      <c r="C1053" s="1765"/>
      <c r="D1053" s="1765"/>
      <c r="E1053" s="1765"/>
      <c r="F1053" s="1765"/>
      <c r="G1053" s="1765"/>
    </row>
    <row r="1054" spans="1:19" x14ac:dyDescent="0.2">
      <c r="A1054" s="1765" t="s">
        <v>1</v>
      </c>
      <c r="B1054" s="1765"/>
      <c r="C1054" s="1765"/>
      <c r="D1054" s="1765"/>
      <c r="E1054" s="1765"/>
      <c r="F1054" s="1765"/>
      <c r="G1054" s="1765"/>
    </row>
    <row r="1055" spans="1:19" x14ac:dyDescent="0.2">
      <c r="A1055" s="1765" t="s">
        <v>1769</v>
      </c>
      <c r="B1055" s="1765"/>
      <c r="C1055" s="1765"/>
      <c r="D1055" s="1765"/>
      <c r="E1055" s="1765"/>
      <c r="F1055" s="1765"/>
      <c r="G1055" s="1765"/>
    </row>
    <row r="1056" spans="1:19" x14ac:dyDescent="0.2">
      <c r="A1056" s="184"/>
      <c r="B1056" s="184"/>
      <c r="C1056" s="185"/>
      <c r="D1056" s="185"/>
      <c r="E1056" s="185"/>
      <c r="F1056" s="185"/>
    </row>
    <row r="1057" spans="1:7" x14ac:dyDescent="0.2">
      <c r="A1057" s="185" t="s">
        <v>690</v>
      </c>
      <c r="B1057" s="185" t="s">
        <v>689</v>
      </c>
      <c r="C1057" s="185"/>
      <c r="D1057" s="185"/>
      <c r="E1057" s="185"/>
      <c r="F1057" s="227" t="s">
        <v>6</v>
      </c>
    </row>
    <row r="1058" spans="1:7" x14ac:dyDescent="0.2">
      <c r="A1058" s="385" t="s">
        <v>247</v>
      </c>
      <c r="B1058" s="385" t="s">
        <v>688</v>
      </c>
      <c r="C1058" s="185"/>
      <c r="D1058" s="185"/>
      <c r="E1058" s="185"/>
      <c r="F1058" s="193" t="s">
        <v>515</v>
      </c>
    </row>
    <row r="1059" spans="1:7" ht="47.25" customHeight="1" x14ac:dyDescent="0.2">
      <c r="A1059" s="385" t="s">
        <v>687</v>
      </c>
      <c r="B1059" s="386" t="s">
        <v>773</v>
      </c>
      <c r="C1059" s="185"/>
      <c r="D1059" s="185"/>
      <c r="E1059" s="185"/>
      <c r="F1059" s="185"/>
    </row>
    <row r="1060" spans="1:7" x14ac:dyDescent="0.2">
      <c r="A1060" s="185" t="s">
        <v>521</v>
      </c>
      <c r="B1060" s="185" t="s">
        <v>546</v>
      </c>
      <c r="C1060" s="185"/>
      <c r="D1060" s="185"/>
      <c r="E1060" s="185"/>
      <c r="F1060" s="185"/>
    </row>
    <row r="1061" spans="1:7" x14ac:dyDescent="0.2">
      <c r="A1061" s="1893" t="s">
        <v>503</v>
      </c>
      <c r="B1061" s="1893"/>
      <c r="C1061" s="185"/>
      <c r="D1061" s="185"/>
      <c r="E1061" s="185"/>
      <c r="F1061" s="185"/>
    </row>
    <row r="1063" spans="1:7" ht="24" x14ac:dyDescent="0.2">
      <c r="A1063" s="469" t="s">
        <v>547</v>
      </c>
      <c r="B1063" s="469" t="s">
        <v>11</v>
      </c>
      <c r="C1063" s="1954" t="s">
        <v>12</v>
      </c>
      <c r="D1063" s="1955"/>
      <c r="E1063" s="470" t="s">
        <v>13</v>
      </c>
      <c r="F1063" s="479" t="s">
        <v>14</v>
      </c>
      <c r="G1063" s="471" t="s">
        <v>266</v>
      </c>
    </row>
    <row r="1064" spans="1:7" x14ac:dyDescent="0.2">
      <c r="A1064" s="472">
        <v>1</v>
      </c>
      <c r="B1064" s="472">
        <v>2</v>
      </c>
      <c r="C1064" s="1943">
        <v>3</v>
      </c>
      <c r="D1064" s="1944"/>
      <c r="E1064" s="473">
        <v>4</v>
      </c>
      <c r="F1064" s="392">
        <v>5</v>
      </c>
      <c r="G1064" s="471">
        <v>6</v>
      </c>
    </row>
    <row r="1065" spans="1:7" ht="22.5" customHeight="1" x14ac:dyDescent="0.2">
      <c r="A1065" s="564" t="s">
        <v>772</v>
      </c>
      <c r="B1065" s="565" t="s">
        <v>287</v>
      </c>
      <c r="C1065" s="474"/>
      <c r="D1065" s="475"/>
      <c r="E1065" s="476"/>
      <c r="F1065" s="477"/>
      <c r="G1065" s="242"/>
    </row>
    <row r="1066" spans="1:7" ht="33" customHeight="1" x14ac:dyDescent="0.2">
      <c r="A1066" s="564" t="s">
        <v>771</v>
      </c>
      <c r="B1066" s="565" t="s">
        <v>86</v>
      </c>
      <c r="C1066" s="474"/>
      <c r="D1066" s="475"/>
      <c r="E1066" s="476"/>
      <c r="F1066" s="477"/>
      <c r="G1066" s="242"/>
    </row>
    <row r="1067" spans="1:7" ht="29.25" customHeight="1" x14ac:dyDescent="0.2">
      <c r="A1067" s="564" t="s">
        <v>770</v>
      </c>
      <c r="B1067" s="565" t="s">
        <v>738</v>
      </c>
      <c r="C1067" s="474"/>
      <c r="D1067" s="475"/>
      <c r="E1067" s="476"/>
      <c r="F1067" s="477"/>
      <c r="G1067" s="242"/>
    </row>
    <row r="1068" spans="1:7" x14ac:dyDescent="0.2">
      <c r="A1068" s="242"/>
      <c r="B1068" s="463" t="s">
        <v>2858</v>
      </c>
      <c r="C1068" s="214">
        <v>1</v>
      </c>
      <c r="D1068" s="244" t="s">
        <v>89</v>
      </c>
      <c r="E1068" s="215">
        <v>70000</v>
      </c>
      <c r="F1068" s="477">
        <f>E1068*C1068</f>
        <v>70000</v>
      </c>
      <c r="G1068" s="242"/>
    </row>
    <row r="1069" spans="1:7" x14ac:dyDescent="0.2">
      <c r="A1069" s="242"/>
      <c r="B1069" s="242" t="s">
        <v>1771</v>
      </c>
      <c r="C1069" s="214">
        <v>26</v>
      </c>
      <c r="D1069" s="244" t="s">
        <v>95</v>
      </c>
      <c r="E1069" s="215">
        <v>3600</v>
      </c>
      <c r="F1069" s="477">
        <f>E1069*C1069</f>
        <v>93600</v>
      </c>
      <c r="G1069" s="242"/>
    </row>
    <row r="1070" spans="1:7" x14ac:dyDescent="0.2">
      <c r="A1070" s="242"/>
      <c r="B1070" s="242" t="s">
        <v>1776</v>
      </c>
      <c r="C1070" s="214">
        <v>26</v>
      </c>
      <c r="D1070" s="244" t="s">
        <v>95</v>
      </c>
      <c r="E1070" s="215">
        <v>6000</v>
      </c>
      <c r="F1070" s="477">
        <f>E1070*C1070</f>
        <v>156000</v>
      </c>
      <c r="G1070" s="242"/>
    </row>
    <row r="1071" spans="1:7" x14ac:dyDescent="0.2">
      <c r="A1071" s="242"/>
      <c r="B1071" s="217" t="s">
        <v>1260</v>
      </c>
      <c r="C1071" s="214">
        <v>300</v>
      </c>
      <c r="D1071" s="244" t="s">
        <v>276</v>
      </c>
      <c r="E1071" s="215">
        <v>400</v>
      </c>
      <c r="F1071" s="477">
        <f>E1071*C1071</f>
        <v>120000</v>
      </c>
      <c r="G1071" s="242"/>
    </row>
    <row r="1072" spans="1:7" x14ac:dyDescent="0.2">
      <c r="A1072" s="242"/>
      <c r="B1072" s="217"/>
      <c r="C1072" s="214"/>
      <c r="D1072" s="244"/>
      <c r="E1072" s="215"/>
      <c r="F1072" s="477"/>
      <c r="G1072" s="242"/>
    </row>
    <row r="1073" spans="1:7" ht="34.5" customHeight="1" x14ac:dyDescent="0.2">
      <c r="A1073" s="564" t="s">
        <v>769</v>
      </c>
      <c r="B1073" s="436" t="s">
        <v>317</v>
      </c>
      <c r="C1073" s="214"/>
      <c r="D1073" s="244"/>
      <c r="E1073" s="215"/>
      <c r="F1073" s="477"/>
      <c r="G1073" s="242"/>
    </row>
    <row r="1074" spans="1:7" ht="36" x14ac:dyDescent="0.2">
      <c r="A1074" s="242"/>
      <c r="B1074" s="213" t="s">
        <v>2767</v>
      </c>
      <c r="C1074" s="214">
        <v>31</v>
      </c>
      <c r="D1074" s="244" t="s">
        <v>507</v>
      </c>
      <c r="E1074" s="215">
        <v>15000</v>
      </c>
      <c r="F1074" s="477">
        <f>E1074*C1074</f>
        <v>465000</v>
      </c>
      <c r="G1074" s="242"/>
    </row>
    <row r="1075" spans="1:7" x14ac:dyDescent="0.2">
      <c r="A1075" s="242"/>
      <c r="B1075" s="217"/>
      <c r="C1075" s="214"/>
      <c r="D1075" s="244"/>
      <c r="E1075" s="215"/>
      <c r="F1075" s="477"/>
      <c r="G1075" s="242"/>
    </row>
    <row r="1076" spans="1:7" ht="25.5" customHeight="1" x14ac:dyDescent="0.2">
      <c r="A1076" s="564" t="s">
        <v>768</v>
      </c>
      <c r="B1076" s="436" t="s">
        <v>337</v>
      </c>
      <c r="C1076" s="214"/>
      <c r="D1076" s="244"/>
      <c r="E1076" s="215"/>
      <c r="F1076" s="477"/>
      <c r="G1076" s="242"/>
    </row>
    <row r="1077" spans="1:7" x14ac:dyDescent="0.2">
      <c r="A1077" s="242"/>
      <c r="B1077" s="217" t="s">
        <v>338</v>
      </c>
      <c r="C1077" s="214">
        <v>1</v>
      </c>
      <c r="D1077" s="244" t="s">
        <v>95</v>
      </c>
      <c r="E1077" s="215">
        <v>90000</v>
      </c>
      <c r="F1077" s="477">
        <f>E1077*C1077</f>
        <v>90000</v>
      </c>
      <c r="G1077" s="242"/>
    </row>
    <row r="1078" spans="1:7" x14ac:dyDescent="0.2">
      <c r="A1078" s="242"/>
      <c r="B1078" s="217"/>
      <c r="C1078" s="214"/>
      <c r="D1078" s="244"/>
      <c r="E1078" s="215"/>
      <c r="F1078" s="477"/>
      <c r="G1078" s="242"/>
    </row>
    <row r="1079" spans="1:7" ht="29.25" customHeight="1" x14ac:dyDescent="0.2">
      <c r="A1079" s="217" t="s">
        <v>767</v>
      </c>
      <c r="B1079" s="436" t="s">
        <v>726</v>
      </c>
      <c r="C1079" s="214"/>
      <c r="D1079" s="407"/>
      <c r="E1079" s="215"/>
      <c r="F1079" s="368"/>
      <c r="G1079" s="242"/>
    </row>
    <row r="1080" spans="1:7" x14ac:dyDescent="0.2">
      <c r="A1080" s="217"/>
      <c r="B1080" s="217" t="s">
        <v>451</v>
      </c>
      <c r="C1080" s="214">
        <v>1</v>
      </c>
      <c r="D1080" s="407" t="s">
        <v>95</v>
      </c>
      <c r="E1080" s="215">
        <v>50000</v>
      </c>
      <c r="F1080" s="368">
        <f>E1080*C1080</f>
        <v>50000</v>
      </c>
      <c r="G1080" s="242"/>
    </row>
    <row r="1081" spans="1:7" x14ac:dyDescent="0.2">
      <c r="A1081" s="217"/>
      <c r="B1081" s="217" t="s">
        <v>285</v>
      </c>
      <c r="C1081" s="214">
        <v>5</v>
      </c>
      <c r="D1081" s="407" t="s">
        <v>165</v>
      </c>
      <c r="E1081" s="215">
        <v>3000</v>
      </c>
      <c r="F1081" s="368">
        <f>E1081*C1081</f>
        <v>15000</v>
      </c>
      <c r="G1081" s="242"/>
    </row>
    <row r="1082" spans="1:7" x14ac:dyDescent="0.2">
      <c r="A1082" s="217"/>
      <c r="B1082" s="217" t="s">
        <v>299</v>
      </c>
      <c r="C1082" s="214">
        <v>1</v>
      </c>
      <c r="D1082" s="407" t="s">
        <v>300</v>
      </c>
      <c r="E1082" s="215">
        <v>10000</v>
      </c>
      <c r="F1082" s="368">
        <f>E1082*C1082</f>
        <v>10000</v>
      </c>
      <c r="G1082" s="242"/>
    </row>
    <row r="1083" spans="1:7" x14ac:dyDescent="0.2">
      <c r="A1083" s="243"/>
      <c r="B1083" s="217"/>
      <c r="C1083" s="214"/>
      <c r="D1083" s="407"/>
      <c r="E1083" s="215"/>
      <c r="F1083" s="368"/>
      <c r="G1083" s="242"/>
    </row>
    <row r="1084" spans="1:7" x14ac:dyDescent="0.2">
      <c r="A1084" s="564" t="s">
        <v>766</v>
      </c>
      <c r="B1084" s="550" t="s">
        <v>374</v>
      </c>
      <c r="C1084" s="214"/>
      <c r="D1084" s="244"/>
      <c r="E1084" s="230"/>
      <c r="F1084" s="477"/>
      <c r="G1084" s="242"/>
    </row>
    <row r="1085" spans="1:7" x14ac:dyDescent="0.2">
      <c r="A1085" s="564"/>
      <c r="B1085" s="217"/>
      <c r="C1085" s="214"/>
      <c r="D1085" s="244"/>
      <c r="E1085" s="230"/>
      <c r="F1085" s="477"/>
      <c r="G1085" s="242"/>
    </row>
    <row r="1086" spans="1:7" ht="43.5" customHeight="1" x14ac:dyDescent="0.2">
      <c r="A1086" s="564" t="s">
        <v>765</v>
      </c>
      <c r="B1086" s="436" t="s">
        <v>439</v>
      </c>
      <c r="C1086" s="214"/>
      <c r="D1086" s="244"/>
      <c r="E1086" s="230"/>
      <c r="F1086" s="477"/>
      <c r="G1086" s="242"/>
    </row>
    <row r="1087" spans="1:7" ht="34.5" customHeight="1" x14ac:dyDescent="0.2">
      <c r="A1087" s="242"/>
      <c r="B1087" s="213" t="s">
        <v>764</v>
      </c>
      <c r="C1087" s="214">
        <v>2</v>
      </c>
      <c r="D1087" s="244" t="s">
        <v>419</v>
      </c>
      <c r="E1087" s="230">
        <v>300000</v>
      </c>
      <c r="F1087" s="477">
        <f>E1087*C1087</f>
        <v>600000</v>
      </c>
      <c r="G1087" s="242"/>
    </row>
    <row r="1088" spans="1:7" x14ac:dyDescent="0.2">
      <c r="A1088" s="242"/>
      <c r="B1088" s="217"/>
      <c r="C1088" s="214"/>
      <c r="D1088" s="244"/>
      <c r="E1088" s="230"/>
      <c r="F1088" s="477"/>
      <c r="G1088" s="242"/>
    </row>
    <row r="1089" spans="1:19" x14ac:dyDescent="0.2">
      <c r="A1089" s="474"/>
      <c r="B1089" s="550"/>
      <c r="C1089" s="214"/>
      <c r="D1089" s="244"/>
      <c r="E1089" s="230"/>
      <c r="F1089" s="477"/>
      <c r="G1089" s="242"/>
    </row>
    <row r="1090" spans="1:19" ht="12.75" thickBot="1" x14ac:dyDescent="0.25">
      <c r="A1090" s="242"/>
      <c r="B1090" s="566"/>
      <c r="C1090" s="518"/>
      <c r="D1090" s="567"/>
      <c r="E1090" s="520"/>
      <c r="F1090" s="477"/>
      <c r="G1090" s="242"/>
    </row>
    <row r="1091" spans="1:19" ht="12.75" thickBot="1" x14ac:dyDescent="0.25">
      <c r="A1091" s="474"/>
      <c r="B1091" s="568" t="s">
        <v>26</v>
      </c>
      <c r="C1091" s="569"/>
      <c r="D1091" s="570"/>
      <c r="E1091" s="571"/>
      <c r="F1091" s="572">
        <f>SUM(F1065:F1090)</f>
        <v>1669600</v>
      </c>
      <c r="G1091" s="242" t="s">
        <v>1409</v>
      </c>
      <c r="K1091" s="457">
        <f>F1091</f>
        <v>1669600</v>
      </c>
      <c r="S1091" s="457"/>
    </row>
    <row r="1093" spans="1:19" x14ac:dyDescent="0.2">
      <c r="A1093" s="1762" t="s">
        <v>549</v>
      </c>
      <c r="B1093" s="1762"/>
      <c r="C1093" s="188" t="s">
        <v>27</v>
      </c>
      <c r="D1093" s="1763" t="s">
        <v>1429</v>
      </c>
      <c r="E1093" s="1763"/>
      <c r="F1093" s="1763"/>
      <c r="G1093" s="188"/>
    </row>
    <row r="1094" spans="1:19" x14ac:dyDescent="0.2">
      <c r="A1094" s="1762" t="s">
        <v>28</v>
      </c>
      <c r="B1094" s="1762"/>
      <c r="C1094" s="188"/>
      <c r="D1094" s="1764" t="s">
        <v>2833</v>
      </c>
      <c r="E1094" s="1764"/>
      <c r="F1094" s="1764"/>
      <c r="G1094" s="188"/>
    </row>
    <row r="1095" spans="1:19" x14ac:dyDescent="0.2">
      <c r="A1095" s="186"/>
      <c r="B1095" s="187"/>
      <c r="C1095" s="188"/>
      <c r="D1095" s="189"/>
      <c r="E1095" s="218"/>
      <c r="F1095" s="218"/>
      <c r="G1095" s="188"/>
    </row>
    <row r="1096" spans="1:19" x14ac:dyDescent="0.2">
      <c r="A1096" s="186"/>
      <c r="B1096" s="187"/>
      <c r="C1096" s="188"/>
      <c r="D1096" s="189"/>
      <c r="E1096" s="218"/>
      <c r="F1096" s="218"/>
      <c r="G1096" s="188"/>
    </row>
    <row r="1097" spans="1:19" x14ac:dyDescent="0.2">
      <c r="A1097" s="1762"/>
      <c r="B1097" s="1762"/>
      <c r="C1097" s="188"/>
      <c r="D1097" s="189"/>
      <c r="E1097" s="1762"/>
      <c r="F1097" s="1762"/>
      <c r="G1097" s="188"/>
    </row>
    <row r="1098" spans="1:19" x14ac:dyDescent="0.2">
      <c r="A1098" s="1762" t="s">
        <v>29</v>
      </c>
      <c r="B1098" s="1762"/>
      <c r="C1098" s="188"/>
      <c r="D1098" s="1762" t="s">
        <v>2954</v>
      </c>
      <c r="E1098" s="1762"/>
      <c r="F1098" s="1762"/>
      <c r="G1098" s="188"/>
    </row>
    <row r="1099" spans="1:19" x14ac:dyDescent="0.2">
      <c r="A1099" s="1765" t="s">
        <v>0</v>
      </c>
      <c r="B1099" s="1765"/>
      <c r="C1099" s="1765"/>
      <c r="D1099" s="1765"/>
      <c r="E1099" s="1765"/>
      <c r="F1099" s="1765"/>
      <c r="G1099" s="1765"/>
    </row>
    <row r="1100" spans="1:19" x14ac:dyDescent="0.2">
      <c r="A1100" s="1765" t="s">
        <v>1</v>
      </c>
      <c r="B1100" s="1765"/>
      <c r="C1100" s="1765"/>
      <c r="D1100" s="1765"/>
      <c r="E1100" s="1765"/>
      <c r="F1100" s="1765"/>
      <c r="G1100" s="1765"/>
    </row>
    <row r="1101" spans="1:19" x14ac:dyDescent="0.2">
      <c r="A1101" s="1765" t="s">
        <v>1769</v>
      </c>
      <c r="B1101" s="1765"/>
      <c r="C1101" s="1765"/>
      <c r="D1101" s="1765"/>
      <c r="E1101" s="1765"/>
      <c r="F1101" s="1765"/>
      <c r="G1101" s="1765"/>
    </row>
    <row r="1102" spans="1:19" x14ac:dyDescent="0.2">
      <c r="A1102" s="184"/>
      <c r="B1102" s="184"/>
      <c r="C1102" s="185"/>
      <c r="D1102" s="185"/>
      <c r="E1102" s="185"/>
      <c r="F1102" s="185"/>
    </row>
    <row r="1103" spans="1:19" x14ac:dyDescent="0.2">
      <c r="A1103" s="185" t="s">
        <v>690</v>
      </c>
      <c r="B1103" s="185" t="s">
        <v>689</v>
      </c>
      <c r="C1103" s="185"/>
      <c r="D1103" s="185"/>
      <c r="E1103" s="185"/>
      <c r="F1103" s="227" t="s">
        <v>6</v>
      </c>
    </row>
    <row r="1104" spans="1:19" x14ac:dyDescent="0.2">
      <c r="A1104" s="385" t="s">
        <v>247</v>
      </c>
      <c r="B1104" s="385" t="s">
        <v>688</v>
      </c>
      <c r="C1104" s="185"/>
      <c r="D1104" s="185"/>
      <c r="E1104" s="185"/>
      <c r="F1104" s="193" t="s">
        <v>515</v>
      </c>
    </row>
    <row r="1105" spans="1:7" ht="47.25" customHeight="1" x14ac:dyDescent="0.2">
      <c r="A1105" s="385" t="s">
        <v>687</v>
      </c>
      <c r="B1105" s="386" t="s">
        <v>2563</v>
      </c>
      <c r="C1105" s="185"/>
      <c r="D1105" s="185"/>
      <c r="E1105" s="185"/>
      <c r="F1105" s="185"/>
    </row>
    <row r="1106" spans="1:7" x14ac:dyDescent="0.2">
      <c r="A1106" s="185" t="s">
        <v>521</v>
      </c>
      <c r="B1106" s="185" t="s">
        <v>546</v>
      </c>
      <c r="C1106" s="185"/>
      <c r="D1106" s="185"/>
      <c r="E1106" s="185"/>
      <c r="F1106" s="185"/>
    </row>
    <row r="1107" spans="1:7" x14ac:dyDescent="0.2">
      <c r="A1107" s="1893" t="s">
        <v>503</v>
      </c>
      <c r="B1107" s="1893"/>
      <c r="C1107" s="185"/>
      <c r="D1107" s="185"/>
      <c r="E1107" s="185"/>
      <c r="F1107" s="185"/>
    </row>
    <row r="1108" spans="1:7" customFormat="1" ht="15" x14ac:dyDescent="0.25">
      <c r="A1108" s="223"/>
      <c r="B1108" s="223"/>
      <c r="C1108" s="223"/>
      <c r="D1108" s="223"/>
      <c r="E1108" s="223"/>
      <c r="F1108" s="223"/>
      <c r="G1108" s="223"/>
    </row>
    <row r="1109" spans="1:7" ht="24" x14ac:dyDescent="0.2">
      <c r="A1109" s="469" t="s">
        <v>547</v>
      </c>
      <c r="B1109" s="469" t="s">
        <v>11</v>
      </c>
      <c r="C1109" s="1954" t="s">
        <v>12</v>
      </c>
      <c r="D1109" s="1955"/>
      <c r="E1109" s="470" t="s">
        <v>13</v>
      </c>
      <c r="F1109" s="479" t="s">
        <v>14</v>
      </c>
      <c r="G1109" s="471" t="s">
        <v>266</v>
      </c>
    </row>
    <row r="1110" spans="1:7" x14ac:dyDescent="0.2">
      <c r="A1110" s="472">
        <v>1</v>
      </c>
      <c r="B1110" s="472">
        <v>2</v>
      </c>
      <c r="C1110" s="1943">
        <v>3</v>
      </c>
      <c r="D1110" s="1944"/>
      <c r="E1110" s="473">
        <v>4</v>
      </c>
      <c r="F1110" s="392">
        <v>5</v>
      </c>
      <c r="G1110" s="471">
        <v>6</v>
      </c>
    </row>
    <row r="1111" spans="1:7" customFormat="1" ht="15" x14ac:dyDescent="0.25">
      <c r="A1111" s="563" t="s">
        <v>772</v>
      </c>
      <c r="B1111" s="563" t="s">
        <v>287</v>
      </c>
      <c r="C1111" s="563"/>
      <c r="D1111" s="563"/>
      <c r="E1111" s="573"/>
      <c r="F1111" s="573"/>
      <c r="G1111" s="563"/>
    </row>
    <row r="1112" spans="1:7" customFormat="1" ht="30" x14ac:dyDescent="0.25">
      <c r="A1112" s="563" t="s">
        <v>771</v>
      </c>
      <c r="B1112" s="346" t="s">
        <v>86</v>
      </c>
      <c r="C1112" s="563"/>
      <c r="D1112" s="563"/>
      <c r="E1112" s="573"/>
      <c r="F1112" s="573"/>
      <c r="G1112" s="563"/>
    </row>
    <row r="1113" spans="1:7" customFormat="1" ht="30" x14ac:dyDescent="0.25">
      <c r="A1113" s="563" t="s">
        <v>770</v>
      </c>
      <c r="B1113" s="346" t="s">
        <v>738</v>
      </c>
      <c r="C1113" s="563"/>
      <c r="D1113" s="563"/>
      <c r="E1113" s="573"/>
      <c r="F1113" s="573"/>
      <c r="G1113" s="563"/>
    </row>
    <row r="1114" spans="1:7" customFormat="1" ht="15" x14ac:dyDescent="0.25">
      <c r="A1114" s="563"/>
      <c r="B1114" s="463" t="s">
        <v>2779</v>
      </c>
      <c r="C1114" s="563">
        <v>1</v>
      </c>
      <c r="D1114" s="563" t="s">
        <v>89</v>
      </c>
      <c r="E1114" s="573">
        <v>70000</v>
      </c>
      <c r="F1114" s="573">
        <f>C1114*E1114</f>
        <v>70000</v>
      </c>
      <c r="G1114" s="563"/>
    </row>
    <row r="1115" spans="1:7" customFormat="1" ht="15" x14ac:dyDescent="0.25">
      <c r="A1115" s="563"/>
      <c r="B1115" s="563" t="s">
        <v>1260</v>
      </c>
      <c r="C1115" s="563">
        <v>300</v>
      </c>
      <c r="D1115" s="563" t="s">
        <v>276</v>
      </c>
      <c r="E1115" s="573">
        <v>400</v>
      </c>
      <c r="F1115" s="573">
        <f t="shared" ref="F1115:F1125" si="21">C1115*E1115</f>
        <v>120000</v>
      </c>
      <c r="G1115" s="563"/>
    </row>
    <row r="1116" spans="1:7" customFormat="1" ht="15" x14ac:dyDescent="0.25">
      <c r="A1116" s="563"/>
      <c r="B1116" s="563"/>
      <c r="C1116" s="563"/>
      <c r="D1116" s="563"/>
      <c r="E1116" s="573"/>
      <c r="F1116" s="573">
        <f t="shared" si="21"/>
        <v>0</v>
      </c>
      <c r="G1116" s="563"/>
    </row>
    <row r="1117" spans="1:7" customFormat="1" ht="30" x14ac:dyDescent="0.25">
      <c r="A1117" s="563" t="s">
        <v>769</v>
      </c>
      <c r="B1117" s="346" t="s">
        <v>317</v>
      </c>
      <c r="C1117" s="563"/>
      <c r="D1117" s="563"/>
      <c r="E1117" s="573"/>
      <c r="F1117" s="573">
        <f t="shared" si="21"/>
        <v>0</v>
      </c>
      <c r="G1117" s="563"/>
    </row>
    <row r="1118" spans="1:7" customFormat="1" ht="30" x14ac:dyDescent="0.25">
      <c r="A1118" s="563"/>
      <c r="B1118" s="346" t="s">
        <v>1774</v>
      </c>
      <c r="C1118" s="563">
        <v>30</v>
      </c>
      <c r="D1118" s="563" t="s">
        <v>279</v>
      </c>
      <c r="E1118" s="573">
        <v>15000</v>
      </c>
      <c r="F1118" s="573">
        <f t="shared" si="21"/>
        <v>450000</v>
      </c>
      <c r="G1118" s="563"/>
    </row>
    <row r="1119" spans="1:7" customFormat="1" ht="15" x14ac:dyDescent="0.25">
      <c r="A1119" s="563"/>
      <c r="B1119" s="563"/>
      <c r="C1119" s="563"/>
      <c r="D1119" s="563"/>
      <c r="E1119" s="573"/>
      <c r="F1119" s="573">
        <f t="shared" si="21"/>
        <v>0</v>
      </c>
      <c r="G1119" s="563"/>
    </row>
    <row r="1120" spans="1:7" customFormat="1" ht="30" x14ac:dyDescent="0.25">
      <c r="A1120" s="563" t="s">
        <v>768</v>
      </c>
      <c r="B1120" s="346" t="s">
        <v>337</v>
      </c>
      <c r="C1120" s="563"/>
      <c r="D1120" s="563"/>
      <c r="E1120" s="573"/>
      <c r="F1120" s="573">
        <f t="shared" si="21"/>
        <v>0</v>
      </c>
      <c r="G1120" s="563"/>
    </row>
    <row r="1121" spans="1:13" customFormat="1" ht="15" x14ac:dyDescent="0.25">
      <c r="A1121" s="563"/>
      <c r="B1121" s="563" t="s">
        <v>338</v>
      </c>
      <c r="C1121" s="563">
        <v>1</v>
      </c>
      <c r="D1121" s="563" t="s">
        <v>95</v>
      </c>
      <c r="E1121" s="573">
        <v>90000</v>
      </c>
      <c r="F1121" s="573">
        <f t="shared" si="21"/>
        <v>90000</v>
      </c>
      <c r="G1121" s="563"/>
    </row>
    <row r="1122" spans="1:13" customFormat="1" ht="15" x14ac:dyDescent="0.25">
      <c r="A1122" s="563"/>
      <c r="B1122" s="563"/>
      <c r="C1122" s="563"/>
      <c r="D1122" s="563"/>
      <c r="E1122" s="573"/>
      <c r="F1122" s="573">
        <f t="shared" si="21"/>
        <v>0</v>
      </c>
      <c r="G1122" s="563"/>
    </row>
    <row r="1123" spans="1:13" customFormat="1" ht="15" x14ac:dyDescent="0.25">
      <c r="A1123" s="563" t="s">
        <v>766</v>
      </c>
      <c r="B1123" s="563" t="s">
        <v>374</v>
      </c>
      <c r="C1123" s="563"/>
      <c r="D1123" s="563"/>
      <c r="E1123" s="573"/>
      <c r="F1123" s="573">
        <f t="shared" si="21"/>
        <v>0</v>
      </c>
      <c r="G1123" s="563"/>
    </row>
    <row r="1124" spans="1:13" customFormat="1" ht="60" x14ac:dyDescent="0.25">
      <c r="A1124" s="563" t="s">
        <v>766</v>
      </c>
      <c r="B1124" s="346" t="s">
        <v>439</v>
      </c>
      <c r="C1124" s="563"/>
      <c r="D1124" s="563"/>
      <c r="E1124" s="573"/>
      <c r="F1124" s="573">
        <f t="shared" si="21"/>
        <v>0</v>
      </c>
      <c r="G1124" s="563"/>
    </row>
    <row r="1125" spans="1:13" customFormat="1" ht="30" x14ac:dyDescent="0.25">
      <c r="A1125" s="563" t="s">
        <v>765</v>
      </c>
      <c r="B1125" s="563" t="s">
        <v>1775</v>
      </c>
      <c r="C1125" s="563">
        <v>1</v>
      </c>
      <c r="D1125" s="563" t="s">
        <v>419</v>
      </c>
      <c r="E1125" s="573">
        <v>300000</v>
      </c>
      <c r="F1125" s="573">
        <f t="shared" si="21"/>
        <v>300000</v>
      </c>
      <c r="G1125" s="563"/>
      <c r="H1125" s="5" t="s">
        <v>2757</v>
      </c>
    </row>
    <row r="1126" spans="1:13" customFormat="1" ht="15" x14ac:dyDescent="0.25">
      <c r="A1126" s="563"/>
      <c r="B1126" s="563"/>
      <c r="C1126" s="563"/>
      <c r="D1126" s="563"/>
      <c r="E1126" s="573"/>
      <c r="F1126" s="573"/>
      <c r="G1126" s="563"/>
      <c r="H1126" t="s">
        <v>2754</v>
      </c>
    </row>
    <row r="1127" spans="1:13" customFormat="1" ht="15" x14ac:dyDescent="0.25">
      <c r="A1127" s="563"/>
      <c r="B1127" s="563" t="s">
        <v>26</v>
      </c>
      <c r="C1127" s="563"/>
      <c r="D1127" s="563"/>
      <c r="E1127" s="573"/>
      <c r="F1127" s="573">
        <f>SUM(F1114:F1126)</f>
        <v>1030000</v>
      </c>
      <c r="G1127" s="563" t="s">
        <v>2565</v>
      </c>
      <c r="M1127" s="172">
        <f>F1127</f>
        <v>1030000</v>
      </c>
    </row>
    <row r="1129" spans="1:13" x14ac:dyDescent="0.2">
      <c r="A1129" s="1762" t="s">
        <v>549</v>
      </c>
      <c r="B1129" s="1762"/>
      <c r="C1129" s="188" t="s">
        <v>27</v>
      </c>
      <c r="D1129" s="1763" t="s">
        <v>1429</v>
      </c>
      <c r="E1129" s="1763"/>
      <c r="F1129" s="1763"/>
      <c r="G1129" s="188"/>
    </row>
    <row r="1130" spans="1:13" x14ac:dyDescent="0.2">
      <c r="A1130" s="1762" t="s">
        <v>28</v>
      </c>
      <c r="B1130" s="1762"/>
      <c r="C1130" s="188"/>
      <c r="D1130" s="1764" t="s">
        <v>2833</v>
      </c>
      <c r="E1130" s="1764"/>
      <c r="F1130" s="1764"/>
      <c r="G1130" s="188"/>
    </row>
    <row r="1131" spans="1:13" x14ac:dyDescent="0.2">
      <c r="A1131" s="186"/>
      <c r="B1131" s="187"/>
      <c r="C1131" s="188"/>
      <c r="D1131" s="189"/>
      <c r="E1131" s="218"/>
      <c r="F1131" s="218"/>
      <c r="G1131" s="188"/>
    </row>
    <row r="1132" spans="1:13" x14ac:dyDescent="0.2">
      <c r="A1132" s="186"/>
      <c r="B1132" s="187"/>
      <c r="C1132" s="188"/>
      <c r="D1132" s="189"/>
      <c r="E1132" s="218"/>
      <c r="F1132" s="218"/>
      <c r="G1132" s="188"/>
    </row>
    <row r="1133" spans="1:13" x14ac:dyDescent="0.2">
      <c r="A1133" s="1762"/>
      <c r="B1133" s="1762"/>
      <c r="C1133" s="188"/>
      <c r="D1133" s="189"/>
      <c r="E1133" s="1762"/>
      <c r="F1133" s="1762"/>
      <c r="G1133" s="188"/>
    </row>
    <row r="1134" spans="1:13" x14ac:dyDescent="0.2">
      <c r="A1134" s="1762" t="s">
        <v>29</v>
      </c>
      <c r="B1134" s="1762"/>
      <c r="C1134" s="188"/>
      <c r="D1134" s="1762" t="s">
        <v>2954</v>
      </c>
      <c r="E1134" s="1762"/>
      <c r="F1134" s="1762"/>
      <c r="G1134" s="188"/>
    </row>
    <row r="1135" spans="1:13" customFormat="1" ht="15" x14ac:dyDescent="0.25">
      <c r="A1135" s="223"/>
      <c r="B1135" s="223"/>
      <c r="C1135" s="223"/>
      <c r="D1135" s="223"/>
      <c r="E1135" s="574"/>
      <c r="F1135" s="574"/>
      <c r="G1135" s="223"/>
    </row>
    <row r="1136" spans="1:13" customFormat="1" ht="15" x14ac:dyDescent="0.25">
      <c r="A1136" s="223"/>
      <c r="B1136" s="223"/>
      <c r="C1136" s="223"/>
      <c r="D1136" s="223"/>
      <c r="E1136" s="574"/>
      <c r="F1136" s="574"/>
      <c r="G1136" s="223"/>
    </row>
    <row r="1137" spans="1:7" x14ac:dyDescent="0.2">
      <c r="A1137" s="1932" t="s">
        <v>0</v>
      </c>
      <c r="B1137" s="1932"/>
      <c r="C1137" s="1932"/>
      <c r="D1137" s="1932"/>
      <c r="E1137" s="1932"/>
      <c r="F1137" s="1932"/>
      <c r="G1137" s="1932"/>
    </row>
    <row r="1138" spans="1:7" x14ac:dyDescent="0.2">
      <c r="A1138" s="1932" t="s">
        <v>1</v>
      </c>
      <c r="B1138" s="1932"/>
      <c r="C1138" s="1932"/>
      <c r="D1138" s="1932"/>
      <c r="E1138" s="1932"/>
      <c r="F1138" s="1932"/>
      <c r="G1138" s="1932"/>
    </row>
    <row r="1139" spans="1:7" x14ac:dyDescent="0.2">
      <c r="A1139" s="1932" t="s">
        <v>1769</v>
      </c>
      <c r="B1139" s="1932"/>
      <c r="C1139" s="1932"/>
      <c r="D1139" s="1932"/>
      <c r="E1139" s="1932"/>
      <c r="F1139" s="1932"/>
      <c r="G1139" s="1932"/>
    </row>
    <row r="1140" spans="1:7" x14ac:dyDescent="0.2">
      <c r="A1140" s="1222"/>
      <c r="B1140" s="1222"/>
      <c r="C1140" s="1223"/>
      <c r="D1140" s="1223"/>
      <c r="E1140" s="1223"/>
      <c r="F1140" s="1223"/>
      <c r="G1140" s="1224"/>
    </row>
    <row r="1141" spans="1:7" x14ac:dyDescent="0.2">
      <c r="A1141" s="1223" t="s">
        <v>690</v>
      </c>
      <c r="B1141" s="1223" t="s">
        <v>689</v>
      </c>
      <c r="C1141" s="1223"/>
      <c r="D1141" s="1223"/>
      <c r="E1141" s="1223"/>
      <c r="F1141" s="1225" t="s">
        <v>6</v>
      </c>
      <c r="G1141" s="1224"/>
    </row>
    <row r="1142" spans="1:7" x14ac:dyDescent="0.2">
      <c r="A1142" s="1226" t="s">
        <v>247</v>
      </c>
      <c r="B1142" s="1226" t="s">
        <v>688</v>
      </c>
      <c r="C1142" s="1223"/>
      <c r="D1142" s="1223"/>
      <c r="E1142" s="1223"/>
      <c r="F1142" s="1227" t="s">
        <v>515</v>
      </c>
      <c r="G1142" s="1224"/>
    </row>
    <row r="1143" spans="1:7" ht="47.25" customHeight="1" x14ac:dyDescent="0.2">
      <c r="A1143" s="1226" t="s">
        <v>687</v>
      </c>
      <c r="B1143" s="1228" t="s">
        <v>2370</v>
      </c>
      <c r="C1143" s="1223"/>
      <c r="D1143" s="1223"/>
      <c r="E1143" s="1223"/>
      <c r="F1143" s="1223"/>
      <c r="G1143" s="1224"/>
    </row>
    <row r="1144" spans="1:7" x14ac:dyDescent="0.2">
      <c r="A1144" s="1223" t="s">
        <v>521</v>
      </c>
      <c r="B1144" s="1223" t="s">
        <v>546</v>
      </c>
      <c r="C1144" s="1223"/>
      <c r="D1144" s="1223"/>
      <c r="E1144" s="1223"/>
      <c r="F1144" s="1223"/>
      <c r="G1144" s="1224"/>
    </row>
    <row r="1145" spans="1:7" x14ac:dyDescent="0.2">
      <c r="A1145" s="2011" t="s">
        <v>503</v>
      </c>
      <c r="B1145" s="2011"/>
      <c r="C1145" s="1223"/>
      <c r="D1145" s="1223"/>
      <c r="E1145" s="1223"/>
      <c r="F1145" s="1223"/>
      <c r="G1145" s="1224"/>
    </row>
    <row r="1146" spans="1:7" x14ac:dyDescent="0.2">
      <c r="A1146" s="1224"/>
      <c r="B1146" s="1224"/>
      <c r="C1146" s="1224"/>
      <c r="D1146" s="1224"/>
      <c r="E1146" s="1224"/>
      <c r="F1146" s="1224"/>
      <c r="G1146" s="1224"/>
    </row>
    <row r="1147" spans="1:7" ht="24" x14ac:dyDescent="0.2">
      <c r="A1147" s="1229" t="s">
        <v>547</v>
      </c>
      <c r="B1147" s="1229" t="s">
        <v>11</v>
      </c>
      <c r="C1147" s="2012" t="s">
        <v>12</v>
      </c>
      <c r="D1147" s="2012"/>
      <c r="E1147" s="1230" t="s">
        <v>13</v>
      </c>
      <c r="F1147" s="1229" t="s">
        <v>14</v>
      </c>
      <c r="G1147" s="1231" t="s">
        <v>266</v>
      </c>
    </row>
    <row r="1148" spans="1:7" x14ac:dyDescent="0.2">
      <c r="A1148" s="1232">
        <v>1</v>
      </c>
      <c r="B1148" s="1232">
        <v>2</v>
      </c>
      <c r="C1148" s="2013">
        <v>3</v>
      </c>
      <c r="D1148" s="2013"/>
      <c r="E1148" s="1233">
        <v>4</v>
      </c>
      <c r="F1148" s="1232">
        <v>5</v>
      </c>
      <c r="G1148" s="1231">
        <v>6</v>
      </c>
    </row>
    <row r="1149" spans="1:7" customFormat="1" ht="15" x14ac:dyDescent="0.25">
      <c r="A1149" s="1234" t="s">
        <v>772</v>
      </c>
      <c r="B1149" s="1234" t="s">
        <v>287</v>
      </c>
      <c r="C1149" s="1234"/>
      <c r="D1149" s="1234"/>
      <c r="E1149" s="1234"/>
      <c r="F1149" s="1234"/>
      <c r="G1149" s="1234"/>
    </row>
    <row r="1150" spans="1:7" customFormat="1" ht="30" x14ac:dyDescent="0.25">
      <c r="A1150" s="1234" t="s">
        <v>771</v>
      </c>
      <c r="B1150" s="1235" t="s">
        <v>86</v>
      </c>
      <c r="C1150" s="1234"/>
      <c r="D1150" s="1234"/>
      <c r="E1150" s="1234"/>
      <c r="F1150" s="1234"/>
      <c r="G1150" s="1234"/>
    </row>
    <row r="1151" spans="1:7" customFormat="1" ht="30" x14ac:dyDescent="0.25">
      <c r="A1151" s="1234" t="s">
        <v>770</v>
      </c>
      <c r="B1151" s="1235" t="s">
        <v>738</v>
      </c>
      <c r="C1151" s="1234"/>
      <c r="D1151" s="1234"/>
      <c r="E1151" s="1234"/>
      <c r="F1151" s="1234"/>
      <c r="G1151" s="1234"/>
    </row>
    <row r="1152" spans="1:7" customFormat="1" ht="30" x14ac:dyDescent="0.25">
      <c r="A1152" s="1234"/>
      <c r="B1152" s="1235" t="s">
        <v>1813</v>
      </c>
      <c r="C1152" s="1234">
        <v>1</v>
      </c>
      <c r="D1152" s="1234" t="s">
        <v>89</v>
      </c>
      <c r="E1152" s="1236">
        <v>79000</v>
      </c>
      <c r="F1152" s="1236">
        <f>C1152*E1152</f>
        <v>79000</v>
      </c>
      <c r="G1152" s="1234"/>
    </row>
    <row r="1153" spans="1:7" customFormat="1" ht="15" x14ac:dyDescent="0.25">
      <c r="A1153" s="1234"/>
      <c r="B1153" s="1234" t="s">
        <v>1260</v>
      </c>
      <c r="C1153" s="1234">
        <v>300</v>
      </c>
      <c r="D1153" s="1234" t="s">
        <v>276</v>
      </c>
      <c r="E1153" s="1236">
        <v>250</v>
      </c>
      <c r="F1153" s="1236">
        <f t="shared" ref="F1153:F1163" si="22">C1153*E1153</f>
        <v>75000</v>
      </c>
      <c r="G1153" s="1234"/>
    </row>
    <row r="1154" spans="1:7" customFormat="1" ht="15" x14ac:dyDescent="0.25">
      <c r="A1154" s="1234"/>
      <c r="B1154" s="1234"/>
      <c r="C1154" s="1234"/>
      <c r="D1154" s="1234"/>
      <c r="E1154" s="1236"/>
      <c r="F1154" s="1236">
        <f t="shared" si="22"/>
        <v>0</v>
      </c>
      <c r="G1154" s="1234"/>
    </row>
    <row r="1155" spans="1:7" customFormat="1" ht="30" x14ac:dyDescent="0.25">
      <c r="A1155" s="1234" t="s">
        <v>769</v>
      </c>
      <c r="B1155" s="1235" t="s">
        <v>317</v>
      </c>
      <c r="C1155" s="1234"/>
      <c r="D1155" s="1234"/>
      <c r="E1155" s="1236"/>
      <c r="F1155" s="1236">
        <f t="shared" si="22"/>
        <v>0</v>
      </c>
      <c r="G1155" s="1234"/>
    </row>
    <row r="1156" spans="1:7" customFormat="1" ht="30" x14ac:dyDescent="0.25">
      <c r="A1156" s="1234"/>
      <c r="B1156" s="1235" t="s">
        <v>2371</v>
      </c>
      <c r="C1156" s="1234">
        <v>60</v>
      </c>
      <c r="D1156" s="1234" t="s">
        <v>279</v>
      </c>
      <c r="E1156" s="1236">
        <v>15000</v>
      </c>
      <c r="F1156" s="1236">
        <f t="shared" si="22"/>
        <v>900000</v>
      </c>
      <c r="G1156" s="1234"/>
    </row>
    <row r="1157" spans="1:7" customFormat="1" ht="15" x14ac:dyDescent="0.25">
      <c r="A1157" s="1234"/>
      <c r="B1157" s="1234"/>
      <c r="C1157" s="1234"/>
      <c r="D1157" s="1234"/>
      <c r="E1157" s="1236"/>
      <c r="F1157" s="1236">
        <f t="shared" si="22"/>
        <v>0</v>
      </c>
      <c r="G1157" s="1234"/>
    </row>
    <row r="1158" spans="1:7" customFormat="1" ht="45" x14ac:dyDescent="0.25">
      <c r="A1158" s="1234" t="s">
        <v>768</v>
      </c>
      <c r="B1158" s="1235" t="s">
        <v>337</v>
      </c>
      <c r="C1158" s="1234"/>
      <c r="D1158" s="1234"/>
      <c r="E1158" s="1236"/>
      <c r="F1158" s="1236">
        <f t="shared" si="22"/>
        <v>0</v>
      </c>
      <c r="G1158" s="1234"/>
    </row>
    <row r="1159" spans="1:7" customFormat="1" ht="15" x14ac:dyDescent="0.25">
      <c r="A1159" s="1234"/>
      <c r="B1159" s="1234" t="s">
        <v>338</v>
      </c>
      <c r="C1159" s="1234">
        <v>1</v>
      </c>
      <c r="D1159" s="1234" t="s">
        <v>95</v>
      </c>
      <c r="E1159" s="1236">
        <v>90000</v>
      </c>
      <c r="F1159" s="1236">
        <f t="shared" si="22"/>
        <v>90000</v>
      </c>
      <c r="G1159" s="1234"/>
    </row>
    <row r="1160" spans="1:7" customFormat="1" ht="15" x14ac:dyDescent="0.25">
      <c r="A1160" s="1234"/>
      <c r="B1160" s="1234"/>
      <c r="C1160" s="1234"/>
      <c r="D1160" s="1234"/>
      <c r="E1160" s="1236"/>
      <c r="F1160" s="1236">
        <f t="shared" si="22"/>
        <v>0</v>
      </c>
      <c r="G1160" s="1234"/>
    </row>
    <row r="1161" spans="1:7" customFormat="1" ht="15" x14ac:dyDescent="0.25">
      <c r="A1161" s="1234" t="s">
        <v>766</v>
      </c>
      <c r="B1161" s="1234" t="s">
        <v>374</v>
      </c>
      <c r="C1161" s="1234"/>
      <c r="D1161" s="1234"/>
      <c r="E1161" s="1236"/>
      <c r="F1161" s="1236">
        <f t="shared" si="22"/>
        <v>0</v>
      </c>
      <c r="G1161" s="1234"/>
    </row>
    <row r="1162" spans="1:7" customFormat="1" ht="60" x14ac:dyDescent="0.25">
      <c r="A1162" s="1234" t="s">
        <v>2372</v>
      </c>
      <c r="B1162" s="1235" t="s">
        <v>439</v>
      </c>
      <c r="C1162" s="1234"/>
      <c r="D1162" s="1234"/>
      <c r="E1162" s="1236"/>
      <c r="F1162" s="1236">
        <f t="shared" si="22"/>
        <v>0</v>
      </c>
      <c r="G1162" s="1234"/>
    </row>
    <row r="1163" spans="1:7" customFormat="1" ht="15" x14ac:dyDescent="0.25">
      <c r="A1163" s="1234"/>
      <c r="B1163" s="1234" t="s">
        <v>2373</v>
      </c>
      <c r="C1163" s="1234">
        <v>12</v>
      </c>
      <c r="D1163" s="1234" t="s">
        <v>419</v>
      </c>
      <c r="E1163" s="1236">
        <v>300000</v>
      </c>
      <c r="F1163" s="1236">
        <f t="shared" si="22"/>
        <v>3600000</v>
      </c>
      <c r="G1163" s="1234"/>
    </row>
    <row r="1164" spans="1:7" customFormat="1" ht="45" x14ac:dyDescent="0.25">
      <c r="A1164" s="1234"/>
      <c r="B1164" s="1235" t="s">
        <v>2374</v>
      </c>
      <c r="C1164" s="1234">
        <v>12</v>
      </c>
      <c r="D1164" s="1234" t="s">
        <v>419</v>
      </c>
      <c r="E1164" s="1236">
        <v>750000</v>
      </c>
      <c r="F1164" s="1236">
        <f>C1164*E1164</f>
        <v>9000000</v>
      </c>
      <c r="G1164" s="1234"/>
    </row>
    <row r="1165" spans="1:7" customFormat="1" ht="15" x14ac:dyDescent="0.25">
      <c r="A1165" s="1234"/>
      <c r="B1165" s="1234"/>
      <c r="C1165" s="1234"/>
      <c r="D1165" s="1234"/>
      <c r="E1165" s="1236"/>
      <c r="F1165" s="1236"/>
      <c r="G1165" s="1234"/>
    </row>
    <row r="1166" spans="1:7" customFormat="1" ht="15" x14ac:dyDescent="0.25">
      <c r="A1166" s="1234"/>
      <c r="B1166" s="1234" t="s">
        <v>26</v>
      </c>
      <c r="C1166" s="1234"/>
      <c r="D1166" s="1234"/>
      <c r="E1166" s="1236"/>
      <c r="F1166" s="1236">
        <f>SUM(F1152:F1165)</f>
        <v>13744000</v>
      </c>
      <c r="G1166" s="1234"/>
    </row>
    <row r="1167" spans="1:7" x14ac:dyDescent="0.2">
      <c r="A1167" s="1224"/>
      <c r="B1167" s="1224"/>
      <c r="C1167" s="1224"/>
      <c r="D1167" s="1224"/>
      <c r="E1167" s="1224"/>
      <c r="F1167" s="1224"/>
      <c r="G1167" s="1224"/>
    </row>
    <row r="1168" spans="1:7" x14ac:dyDescent="0.2">
      <c r="A1168" s="1224"/>
      <c r="B1168" s="1224"/>
      <c r="C1168" s="1224"/>
      <c r="D1168" s="1224"/>
      <c r="E1168" s="1224"/>
      <c r="F1168" s="1224"/>
      <c r="G1168" s="1224"/>
    </row>
    <row r="1169" spans="1:7" x14ac:dyDescent="0.2">
      <c r="A1169" s="1224"/>
      <c r="B1169" s="1224"/>
      <c r="C1169" s="1224"/>
      <c r="D1169" s="1224"/>
      <c r="E1169" s="1224"/>
      <c r="F1169" s="1224"/>
      <c r="G1169" s="1224"/>
    </row>
    <row r="1170" spans="1:7" x14ac:dyDescent="0.2">
      <c r="A1170" s="1962" t="s">
        <v>549</v>
      </c>
      <c r="B1170" s="1962"/>
      <c r="C1170" s="1237" t="s">
        <v>27</v>
      </c>
      <c r="D1170" s="1962" t="s">
        <v>1429</v>
      </c>
      <c r="E1170" s="1962"/>
      <c r="F1170" s="1962"/>
      <c r="G1170" s="1962"/>
    </row>
    <row r="1171" spans="1:7" x14ac:dyDescent="0.2">
      <c r="A1171" s="1962" t="s">
        <v>28</v>
      </c>
      <c r="B1171" s="1962"/>
      <c r="C1171" s="1237"/>
      <c r="D1171" s="2014" t="s">
        <v>1777</v>
      </c>
      <c r="E1171" s="2014"/>
      <c r="F1171" s="2014"/>
      <c r="G1171" s="2014"/>
    </row>
    <row r="1172" spans="1:7" x14ac:dyDescent="0.2">
      <c r="A1172" s="1239"/>
      <c r="B1172" s="1240"/>
      <c r="C1172" s="1237"/>
      <c r="D1172" s="1238"/>
      <c r="E1172" s="1241"/>
      <c r="F1172" s="1241"/>
      <c r="G1172" s="1237"/>
    </row>
    <row r="1173" spans="1:7" x14ac:dyDescent="0.2">
      <c r="A1173" s="1239"/>
      <c r="B1173" s="1240"/>
      <c r="C1173" s="1237"/>
      <c r="D1173" s="1238"/>
      <c r="E1173" s="1241"/>
      <c r="F1173" s="1242"/>
      <c r="G1173" s="1237"/>
    </row>
    <row r="1174" spans="1:7" x14ac:dyDescent="0.2">
      <c r="A1174" s="1962"/>
      <c r="B1174" s="1962"/>
      <c r="C1174" s="1237"/>
      <c r="D1174" s="1238"/>
      <c r="E1174" s="1963"/>
      <c r="F1174" s="1962"/>
      <c r="G1174" s="1237"/>
    </row>
    <row r="1175" spans="1:7" x14ac:dyDescent="0.2">
      <c r="A1175" s="1962" t="s">
        <v>29</v>
      </c>
      <c r="B1175" s="1962"/>
      <c r="C1175" s="1237"/>
      <c r="D1175" s="1962" t="s">
        <v>550</v>
      </c>
      <c r="E1175" s="1962"/>
      <c r="F1175" s="1962"/>
      <c r="G1175" s="1962"/>
    </row>
    <row r="1176" spans="1:7" customFormat="1" ht="15" x14ac:dyDescent="0.25">
      <c r="E1176" s="575"/>
      <c r="F1176" s="575"/>
    </row>
    <row r="1177" spans="1:7" customFormat="1" ht="15" x14ac:dyDescent="0.25">
      <c r="E1177" s="575"/>
      <c r="F1177" s="575"/>
    </row>
    <row r="1178" spans="1:7" x14ac:dyDescent="0.2">
      <c r="A1178" s="1765" t="s">
        <v>0</v>
      </c>
      <c r="B1178" s="1765"/>
      <c r="C1178" s="1765"/>
      <c r="D1178" s="1765"/>
      <c r="E1178" s="1765"/>
      <c r="F1178" s="1765"/>
      <c r="G1178" s="1765"/>
    </row>
    <row r="1179" spans="1:7" x14ac:dyDescent="0.2">
      <c r="A1179" s="1765" t="s">
        <v>1</v>
      </c>
      <c r="B1179" s="1765"/>
      <c r="C1179" s="1765"/>
      <c r="D1179" s="1765"/>
      <c r="E1179" s="1765"/>
      <c r="F1179" s="1765"/>
      <c r="G1179" s="1765"/>
    </row>
    <row r="1180" spans="1:7" x14ac:dyDescent="0.2">
      <c r="A1180" s="1765" t="s">
        <v>1769</v>
      </c>
      <c r="B1180" s="1765"/>
      <c r="C1180" s="1765"/>
      <c r="D1180" s="1765"/>
      <c r="E1180" s="1765"/>
      <c r="F1180" s="1765"/>
      <c r="G1180" s="1765"/>
    </row>
    <row r="1181" spans="1:7" x14ac:dyDescent="0.2">
      <c r="A1181" s="185" t="s">
        <v>710</v>
      </c>
      <c r="B1181" s="185" t="s">
        <v>711</v>
      </c>
      <c r="C1181" s="185"/>
    </row>
    <row r="1182" spans="1:7" x14ac:dyDescent="0.2">
      <c r="A1182" s="385" t="s">
        <v>712</v>
      </c>
      <c r="B1182" s="385" t="s">
        <v>713</v>
      </c>
      <c r="C1182" s="185"/>
    </row>
    <row r="1183" spans="1:7" ht="53.25" customHeight="1" x14ac:dyDescent="0.2">
      <c r="A1183" s="507" t="s">
        <v>687</v>
      </c>
      <c r="B1183" s="530" t="s">
        <v>1799</v>
      </c>
      <c r="C1183" s="530"/>
      <c r="D1183" s="530"/>
    </row>
    <row r="1184" spans="1:7" x14ac:dyDescent="0.2">
      <c r="A1184" s="185" t="s">
        <v>60</v>
      </c>
      <c r="B1184" s="185" t="s">
        <v>61</v>
      </c>
      <c r="C1184" s="185"/>
    </row>
    <row r="1185" spans="1:7" x14ac:dyDescent="0.2">
      <c r="A1185" s="1893" t="s">
        <v>503</v>
      </c>
      <c r="B1185" s="1893"/>
      <c r="C1185" s="185"/>
    </row>
    <row r="1186" spans="1:7" x14ac:dyDescent="0.2">
      <c r="A1186" s="385"/>
      <c r="B1186" s="385"/>
      <c r="C1186" s="185"/>
    </row>
    <row r="1187" spans="1:7" ht="24" x14ac:dyDescent="0.2">
      <c r="A1187" s="461" t="s">
        <v>30</v>
      </c>
      <c r="B1187" s="461" t="s">
        <v>11</v>
      </c>
      <c r="C1187" s="1972" t="s">
        <v>12</v>
      </c>
      <c r="D1187" s="1973"/>
      <c r="E1187" s="462" t="s">
        <v>13</v>
      </c>
      <c r="F1187" s="461" t="s">
        <v>14</v>
      </c>
      <c r="G1187" s="200" t="s">
        <v>34</v>
      </c>
    </row>
    <row r="1188" spans="1:7" x14ac:dyDescent="0.2">
      <c r="A1188" s="200">
        <v>1</v>
      </c>
      <c r="B1188" s="200">
        <v>2</v>
      </c>
      <c r="C1188" s="1789">
        <v>3</v>
      </c>
      <c r="D1188" s="1789"/>
      <c r="E1188" s="491">
        <v>4</v>
      </c>
      <c r="F1188" s="200">
        <v>5</v>
      </c>
      <c r="G1188" s="200">
        <v>6</v>
      </c>
    </row>
    <row r="1189" spans="1:7" x14ac:dyDescent="0.2">
      <c r="A1189" s="395" t="s">
        <v>685</v>
      </c>
      <c r="B1189" s="395" t="s">
        <v>314</v>
      </c>
      <c r="C1189" s="492"/>
      <c r="D1189" s="493"/>
      <c r="E1189" s="461"/>
      <c r="F1189" s="461"/>
      <c r="G1189" s="463"/>
    </row>
    <row r="1190" spans="1:7" ht="18.75" customHeight="1" x14ac:dyDescent="0.2">
      <c r="A1190" s="395" t="s">
        <v>684</v>
      </c>
      <c r="B1190" s="395" t="s">
        <v>683</v>
      </c>
      <c r="C1190" s="492"/>
      <c r="D1190" s="493"/>
      <c r="E1190" s="461"/>
      <c r="F1190" s="461"/>
      <c r="G1190" s="463"/>
    </row>
    <row r="1191" spans="1:7" ht="33" customHeight="1" x14ac:dyDescent="0.2">
      <c r="A1191" s="395" t="s">
        <v>682</v>
      </c>
      <c r="B1191" s="369" t="s">
        <v>681</v>
      </c>
      <c r="C1191" s="492"/>
      <c r="D1191" s="493"/>
      <c r="E1191" s="461"/>
      <c r="F1191" s="461"/>
      <c r="G1191" s="463"/>
    </row>
    <row r="1192" spans="1:7" x14ac:dyDescent="0.2">
      <c r="A1192" s="395"/>
      <c r="B1192" s="463" t="s">
        <v>2779</v>
      </c>
      <c r="C1192" s="492">
        <v>3</v>
      </c>
      <c r="D1192" s="493" t="s">
        <v>89</v>
      </c>
      <c r="E1192" s="462">
        <v>70000</v>
      </c>
      <c r="F1192" s="576">
        <f>E1192*C1192</f>
        <v>210000</v>
      </c>
      <c r="G1192" s="463"/>
    </row>
    <row r="1193" spans="1:7" x14ac:dyDescent="0.2">
      <c r="A1193" s="495"/>
      <c r="B1193" s="369" t="s">
        <v>1778</v>
      </c>
      <c r="C1193" s="492">
        <v>65</v>
      </c>
      <c r="D1193" s="493" t="s">
        <v>110</v>
      </c>
      <c r="E1193" s="462">
        <v>6500</v>
      </c>
      <c r="F1193" s="576">
        <f>E1193*C1193</f>
        <v>422500</v>
      </c>
      <c r="G1193" s="463"/>
    </row>
    <row r="1194" spans="1:7" x14ac:dyDescent="0.2">
      <c r="A1194" s="461"/>
      <c r="B1194" s="463" t="s">
        <v>2802</v>
      </c>
      <c r="C1194" s="268">
        <v>39</v>
      </c>
      <c r="D1194" s="295" t="s">
        <v>110</v>
      </c>
      <c r="E1194" s="446">
        <v>3600</v>
      </c>
      <c r="F1194" s="576">
        <f>E1194*C1194</f>
        <v>140400</v>
      </c>
      <c r="G1194" s="463"/>
    </row>
    <row r="1195" spans="1:7" ht="27" customHeight="1" x14ac:dyDescent="0.2">
      <c r="A1195" s="461"/>
      <c r="B1195" s="465" t="s">
        <v>714</v>
      </c>
      <c r="C1195" s="268">
        <v>300</v>
      </c>
      <c r="D1195" s="295" t="s">
        <v>108</v>
      </c>
      <c r="E1195" s="446">
        <v>15000</v>
      </c>
      <c r="F1195" s="576">
        <f>E1195*C1195</f>
        <v>4500000</v>
      </c>
      <c r="G1195" s="463"/>
    </row>
    <row r="1196" spans="1:7" x14ac:dyDescent="0.2">
      <c r="A1196" s="461"/>
      <c r="B1196" s="465"/>
      <c r="C1196" s="268"/>
      <c r="D1196" s="295"/>
      <c r="E1196" s="446"/>
      <c r="F1196" s="576"/>
      <c r="G1196" s="463"/>
    </row>
    <row r="1197" spans="1:7" ht="34.5" customHeight="1" x14ac:dyDescent="0.2">
      <c r="A1197" s="395" t="s">
        <v>680</v>
      </c>
      <c r="B1197" s="465" t="s">
        <v>317</v>
      </c>
      <c r="C1197" s="268"/>
      <c r="D1197" s="295"/>
      <c r="E1197" s="446"/>
      <c r="F1197" s="576"/>
      <c r="G1197" s="463"/>
    </row>
    <row r="1198" spans="1:7" x14ac:dyDescent="0.2">
      <c r="A1198" s="369"/>
      <c r="B1198" s="213" t="s">
        <v>679</v>
      </c>
      <c r="C1198" s="372"/>
      <c r="D1198" s="496"/>
      <c r="E1198" s="442"/>
      <c r="F1198" s="576"/>
      <c r="G1198" s="463"/>
    </row>
    <row r="1199" spans="1:7" x14ac:dyDescent="0.2">
      <c r="A1199" s="369"/>
      <c r="B1199" s="213" t="s">
        <v>715</v>
      </c>
      <c r="C1199" s="372">
        <f>5*6*12</f>
        <v>360</v>
      </c>
      <c r="D1199" s="496" t="s">
        <v>279</v>
      </c>
      <c r="E1199" s="424">
        <v>15000</v>
      </c>
      <c r="F1199" s="576">
        <f>E1199*C1199</f>
        <v>5400000</v>
      </c>
      <c r="G1199" s="463"/>
    </row>
    <row r="1200" spans="1:7" x14ac:dyDescent="0.2">
      <c r="A1200" s="369"/>
      <c r="B1200" s="213"/>
      <c r="C1200" s="372"/>
      <c r="D1200" s="496"/>
      <c r="E1200" s="424"/>
      <c r="F1200" s="576"/>
      <c r="G1200" s="463"/>
    </row>
    <row r="1201" spans="1:19" ht="38.25" customHeight="1" x14ac:dyDescent="0.2">
      <c r="A1201" s="395" t="s">
        <v>695</v>
      </c>
      <c r="B1201" s="213" t="s">
        <v>516</v>
      </c>
      <c r="C1201" s="372"/>
      <c r="D1201" s="496"/>
      <c r="E1201" s="424"/>
      <c r="F1201" s="576"/>
      <c r="G1201" s="463"/>
    </row>
    <row r="1202" spans="1:19" x14ac:dyDescent="0.2">
      <c r="A1202" s="369"/>
      <c r="B1202" s="213"/>
      <c r="C1202" s="372"/>
      <c r="D1202" s="496"/>
      <c r="E1202" s="424"/>
      <c r="F1202" s="576"/>
      <c r="G1202" s="463"/>
    </row>
    <row r="1203" spans="1:19" ht="24" x14ac:dyDescent="0.2">
      <c r="A1203" s="395" t="s">
        <v>678</v>
      </c>
      <c r="B1203" s="213" t="s">
        <v>677</v>
      </c>
      <c r="C1203" s="500"/>
      <c r="D1203" s="508"/>
      <c r="E1203" s="369"/>
      <c r="F1203" s="576"/>
      <c r="G1203" s="463"/>
    </row>
    <row r="1204" spans="1:19" x14ac:dyDescent="0.2">
      <c r="A1204" s="369"/>
      <c r="B1204" s="213" t="s">
        <v>417</v>
      </c>
      <c r="C1204" s="372">
        <v>6</v>
      </c>
      <c r="D1204" s="496" t="s">
        <v>418</v>
      </c>
      <c r="E1204" s="424">
        <v>90000</v>
      </c>
      <c r="F1204" s="576">
        <f>E1204*C1204</f>
        <v>540000</v>
      </c>
      <c r="G1204" s="463"/>
    </row>
    <row r="1205" spans="1:19" x14ac:dyDescent="0.2">
      <c r="A1205" s="369"/>
      <c r="B1205" s="213"/>
      <c r="C1205" s="372"/>
      <c r="D1205" s="496"/>
      <c r="E1205" s="424"/>
      <c r="F1205" s="576"/>
      <c r="G1205" s="463"/>
    </row>
    <row r="1206" spans="1:19" x14ac:dyDescent="0.2">
      <c r="A1206" s="369" t="s">
        <v>676</v>
      </c>
      <c r="B1206" s="213" t="s">
        <v>304</v>
      </c>
      <c r="C1206" s="372"/>
      <c r="D1206" s="496"/>
      <c r="E1206" s="424"/>
      <c r="F1206" s="576"/>
      <c r="G1206" s="463"/>
    </row>
    <row r="1207" spans="1:19" ht="24" x14ac:dyDescent="0.2">
      <c r="A1207" s="500" t="s">
        <v>691</v>
      </c>
      <c r="B1207" s="213" t="s">
        <v>354</v>
      </c>
      <c r="C1207" s="372"/>
      <c r="D1207" s="496"/>
      <c r="E1207" s="424"/>
      <c r="F1207" s="576"/>
      <c r="G1207" s="463"/>
    </row>
    <row r="1208" spans="1:19" ht="24" x14ac:dyDescent="0.2">
      <c r="A1208" s="500"/>
      <c r="B1208" s="213" t="s">
        <v>716</v>
      </c>
      <c r="C1208" s="372">
        <v>360</v>
      </c>
      <c r="D1208" s="496" t="s">
        <v>407</v>
      </c>
      <c r="E1208" s="424">
        <v>200000</v>
      </c>
      <c r="F1208" s="577">
        <f>E1208*C1208</f>
        <v>72000000</v>
      </c>
      <c r="G1208" s="463"/>
    </row>
    <row r="1209" spans="1:19" x14ac:dyDescent="0.2">
      <c r="A1209" s="500"/>
      <c r="B1209" s="448" t="s">
        <v>26</v>
      </c>
      <c r="C1209" s="500"/>
      <c r="D1209" s="508"/>
      <c r="E1209" s="369"/>
      <c r="F1209" s="497">
        <f>SUM(F1192:F1208)</f>
        <v>83212900</v>
      </c>
      <c r="G1209" s="463" t="s">
        <v>2569</v>
      </c>
      <c r="K1209" s="457"/>
      <c r="S1209" s="457">
        <f>F1209</f>
        <v>83212900</v>
      </c>
    </row>
    <row r="1211" spans="1:19" x14ac:dyDescent="0.2">
      <c r="A1211" s="1762" t="s">
        <v>549</v>
      </c>
      <c r="B1211" s="1762"/>
      <c r="C1211" s="188" t="s">
        <v>27</v>
      </c>
      <c r="D1211" s="1763" t="s">
        <v>1429</v>
      </c>
      <c r="E1211" s="1763"/>
      <c r="F1211" s="1763"/>
      <c r="G1211" s="188"/>
    </row>
    <row r="1212" spans="1:19" x14ac:dyDescent="0.2">
      <c r="A1212" s="1762" t="s">
        <v>28</v>
      </c>
      <c r="B1212" s="1762"/>
      <c r="C1212" s="188"/>
      <c r="D1212" s="1764" t="s">
        <v>2833</v>
      </c>
      <c r="E1212" s="1764"/>
      <c r="F1212" s="1764"/>
      <c r="G1212" s="188"/>
    </row>
    <row r="1213" spans="1:19" x14ac:dyDescent="0.2">
      <c r="A1213" s="186"/>
      <c r="B1213" s="187"/>
      <c r="C1213" s="188"/>
      <c r="D1213" s="189"/>
      <c r="E1213" s="218"/>
      <c r="F1213" s="218"/>
      <c r="G1213" s="188"/>
    </row>
    <row r="1214" spans="1:19" x14ac:dyDescent="0.2">
      <c r="A1214" s="186"/>
      <c r="B1214" s="187"/>
      <c r="C1214" s="188"/>
      <c r="D1214" s="189"/>
      <c r="E1214" s="218"/>
      <c r="F1214" s="218"/>
      <c r="G1214" s="188"/>
    </row>
    <row r="1215" spans="1:19" x14ac:dyDescent="0.2">
      <c r="A1215" s="1762"/>
      <c r="B1215" s="1762"/>
      <c r="C1215" s="188"/>
      <c r="D1215" s="189"/>
      <c r="E1215" s="1762"/>
      <c r="F1215" s="1762"/>
      <c r="G1215" s="188"/>
    </row>
    <row r="1216" spans="1:19" x14ac:dyDescent="0.2">
      <c r="A1216" s="1762" t="s">
        <v>29</v>
      </c>
      <c r="B1216" s="1762"/>
      <c r="C1216" s="188"/>
      <c r="D1216" s="1762" t="s">
        <v>2954</v>
      </c>
      <c r="E1216" s="1762"/>
      <c r="F1216" s="1762"/>
      <c r="G1216" s="188"/>
    </row>
    <row r="1218" spans="1:7" x14ac:dyDescent="0.2">
      <c r="A1218" s="1765" t="s">
        <v>0</v>
      </c>
      <c r="B1218" s="1765"/>
      <c r="C1218" s="1765"/>
      <c r="D1218" s="1765"/>
      <c r="E1218" s="1765"/>
      <c r="F1218" s="1765"/>
      <c r="G1218" s="1765"/>
    </row>
    <row r="1219" spans="1:7" x14ac:dyDescent="0.2">
      <c r="A1219" s="1765" t="s">
        <v>1</v>
      </c>
      <c r="B1219" s="1765"/>
      <c r="C1219" s="1765"/>
      <c r="D1219" s="1765"/>
      <c r="E1219" s="1765"/>
      <c r="F1219" s="1765"/>
      <c r="G1219" s="1765"/>
    </row>
    <row r="1220" spans="1:7" x14ac:dyDescent="0.2">
      <c r="A1220" s="1765" t="s">
        <v>1769</v>
      </c>
      <c r="B1220" s="1765"/>
      <c r="C1220" s="1765"/>
      <c r="D1220" s="1765"/>
      <c r="E1220" s="1765"/>
      <c r="F1220" s="1765"/>
      <c r="G1220" s="1765"/>
    </row>
    <row r="1221" spans="1:7" x14ac:dyDescent="0.2">
      <c r="A1221" s="185" t="s">
        <v>710</v>
      </c>
      <c r="B1221" s="185" t="s">
        <v>711</v>
      </c>
      <c r="C1221" s="185"/>
      <c r="D1221" s="185"/>
      <c r="E1221" s="227" t="s">
        <v>6</v>
      </c>
      <c r="F1221" s="227" t="s">
        <v>1448</v>
      </c>
      <c r="G1221" s="185"/>
    </row>
    <row r="1222" spans="1:7" x14ac:dyDescent="0.2">
      <c r="A1222" s="385" t="s">
        <v>712</v>
      </c>
      <c r="B1222" s="385" t="s">
        <v>713</v>
      </c>
      <c r="C1222" s="385"/>
      <c r="D1222" s="184"/>
      <c r="E1222" s="195" t="s">
        <v>515</v>
      </c>
      <c r="F1222" s="578" t="s">
        <v>1449</v>
      </c>
      <c r="G1222" s="185"/>
    </row>
    <row r="1223" spans="1:7" ht="36" x14ac:dyDescent="0.2">
      <c r="A1223" s="507" t="s">
        <v>687</v>
      </c>
      <c r="B1223" s="386" t="s">
        <v>1443</v>
      </c>
      <c r="C1223" s="385"/>
      <c r="D1223" s="184"/>
      <c r="E1223" s="468"/>
      <c r="F1223" s="385"/>
      <c r="G1223" s="185"/>
    </row>
    <row r="1224" spans="1:7" x14ac:dyDescent="0.2">
      <c r="A1224" s="185" t="s">
        <v>60</v>
      </c>
      <c r="B1224" s="185" t="s">
        <v>61</v>
      </c>
      <c r="C1224" s="185"/>
      <c r="D1224" s="185"/>
      <c r="E1224" s="185"/>
      <c r="F1224" s="185"/>
      <c r="G1224" s="185"/>
    </row>
    <row r="1225" spans="1:7" x14ac:dyDescent="0.2">
      <c r="A1225" s="1893" t="s">
        <v>503</v>
      </c>
      <c r="B1225" s="1893"/>
      <c r="C1225" s="185"/>
      <c r="D1225" s="385"/>
      <c r="E1225" s="431"/>
      <c r="F1225" s="185"/>
      <c r="G1225" s="185"/>
    </row>
    <row r="1226" spans="1:7" ht="24" x14ac:dyDescent="0.2">
      <c r="A1226" s="461" t="s">
        <v>30</v>
      </c>
      <c r="B1226" s="461" t="s">
        <v>11</v>
      </c>
      <c r="C1226" s="1972" t="s">
        <v>12</v>
      </c>
      <c r="D1226" s="1973"/>
      <c r="E1226" s="462" t="s">
        <v>13</v>
      </c>
      <c r="F1226" s="461" t="s">
        <v>14</v>
      </c>
      <c r="G1226" s="200" t="s">
        <v>34</v>
      </c>
    </row>
    <row r="1227" spans="1:7" x14ac:dyDescent="0.2">
      <c r="A1227" s="200">
        <v>1</v>
      </c>
      <c r="B1227" s="200">
        <v>2</v>
      </c>
      <c r="C1227" s="1789">
        <v>3</v>
      </c>
      <c r="D1227" s="1789"/>
      <c r="E1227" s="491">
        <v>4</v>
      </c>
      <c r="F1227" s="200">
        <v>5</v>
      </c>
      <c r="G1227" s="200">
        <v>6</v>
      </c>
    </row>
    <row r="1228" spans="1:7" x14ac:dyDescent="0.2">
      <c r="A1228" s="391" t="s">
        <v>778</v>
      </c>
      <c r="B1228" s="369" t="s">
        <v>287</v>
      </c>
      <c r="C1228" s="419"/>
      <c r="D1228" s="420"/>
      <c r="E1228" s="491"/>
      <c r="F1228" s="200"/>
      <c r="G1228" s="222"/>
    </row>
    <row r="1229" spans="1:7" x14ac:dyDescent="0.2">
      <c r="A1229" s="391" t="s">
        <v>777</v>
      </c>
      <c r="B1229" s="369" t="s">
        <v>86</v>
      </c>
      <c r="C1229" s="419"/>
      <c r="D1229" s="420"/>
      <c r="E1229" s="491"/>
      <c r="F1229" s="200"/>
      <c r="G1229" s="222"/>
    </row>
    <row r="1230" spans="1:7" ht="24" x14ac:dyDescent="0.2">
      <c r="A1230" s="257" t="s">
        <v>782</v>
      </c>
      <c r="B1230" s="369" t="s">
        <v>738</v>
      </c>
      <c r="C1230" s="419"/>
      <c r="D1230" s="420"/>
      <c r="E1230" s="491"/>
      <c r="F1230" s="200"/>
      <c r="G1230" s="222"/>
    </row>
    <row r="1231" spans="1:7" x14ac:dyDescent="0.2">
      <c r="A1231" s="200"/>
      <c r="B1231" s="463" t="s">
        <v>2863</v>
      </c>
      <c r="C1231" s="205">
        <v>1</v>
      </c>
      <c r="D1231" s="206" t="s">
        <v>89</v>
      </c>
      <c r="E1231" s="175">
        <v>70000</v>
      </c>
      <c r="F1231" s="175">
        <f>C1231*E1231</f>
        <v>70000</v>
      </c>
      <c r="G1231" s="369"/>
    </row>
    <row r="1232" spans="1:7" x14ac:dyDescent="0.2">
      <c r="A1232" s="200"/>
      <c r="B1232" s="465" t="s">
        <v>275</v>
      </c>
      <c r="C1232" s="205">
        <v>130</v>
      </c>
      <c r="D1232" s="206" t="s">
        <v>276</v>
      </c>
      <c r="E1232" s="175">
        <v>400</v>
      </c>
      <c r="F1232" s="175">
        <f>C1232*E1232</f>
        <v>52000</v>
      </c>
      <c r="G1232" s="369"/>
    </row>
    <row r="1233" spans="1:21" x14ac:dyDescent="0.2">
      <c r="A1233" s="200"/>
      <c r="B1233" s="463" t="s">
        <v>2864</v>
      </c>
      <c r="C1233" s="205">
        <v>10</v>
      </c>
      <c r="D1233" s="206" t="s">
        <v>272</v>
      </c>
      <c r="E1233" s="175">
        <v>3600</v>
      </c>
      <c r="F1233" s="175">
        <f>C1233*E1233</f>
        <v>36000</v>
      </c>
      <c r="G1233" s="369"/>
    </row>
    <row r="1234" spans="1:21" x14ac:dyDescent="0.2">
      <c r="A1234" s="222"/>
      <c r="B1234" s="242" t="s">
        <v>1772</v>
      </c>
      <c r="C1234" s="205">
        <v>5</v>
      </c>
      <c r="D1234" s="206" t="s">
        <v>272</v>
      </c>
      <c r="E1234" s="175">
        <v>27000</v>
      </c>
      <c r="F1234" s="175">
        <f>C1234*E1234</f>
        <v>135000</v>
      </c>
      <c r="G1234" s="369"/>
    </row>
    <row r="1235" spans="1:21" x14ac:dyDescent="0.2">
      <c r="A1235" s="222"/>
      <c r="B1235" s="217"/>
      <c r="C1235" s="214"/>
      <c r="D1235" s="407"/>
      <c r="E1235" s="230"/>
      <c r="F1235" s="408"/>
      <c r="G1235" s="369"/>
    </row>
    <row r="1236" spans="1:21" ht="24" x14ac:dyDescent="0.2">
      <c r="A1236" s="257" t="s">
        <v>776</v>
      </c>
      <c r="B1236" s="213" t="s">
        <v>317</v>
      </c>
      <c r="C1236" s="214"/>
      <c r="D1236" s="407"/>
      <c r="E1236" s="215"/>
      <c r="F1236" s="408"/>
      <c r="G1236" s="369"/>
    </row>
    <row r="1237" spans="1:21" x14ac:dyDescent="0.2">
      <c r="A1237" s="222"/>
      <c r="B1237" s="217" t="s">
        <v>679</v>
      </c>
      <c r="C1237" s="214"/>
      <c r="D1237" s="407"/>
      <c r="E1237" s="230"/>
      <c r="F1237" s="422"/>
      <c r="G1237" s="369"/>
    </row>
    <row r="1238" spans="1:21" x14ac:dyDescent="0.2">
      <c r="A1238" s="222"/>
      <c r="B1238" s="217" t="s">
        <v>784</v>
      </c>
      <c r="C1238" s="214">
        <v>60</v>
      </c>
      <c r="D1238" s="407" t="s">
        <v>279</v>
      </c>
      <c r="E1238" s="215">
        <v>15000</v>
      </c>
      <c r="F1238" s="422">
        <f>E1238*C1238</f>
        <v>900000</v>
      </c>
      <c r="G1238" s="369"/>
    </row>
    <row r="1239" spans="1:21" x14ac:dyDescent="0.2">
      <c r="A1239" s="222"/>
      <c r="B1239" s="217"/>
      <c r="C1239" s="214"/>
      <c r="D1239" s="407"/>
      <c r="E1239" s="426"/>
      <c r="F1239" s="422"/>
      <c r="G1239" s="369"/>
    </row>
    <row r="1240" spans="1:21" x14ac:dyDescent="0.2">
      <c r="A1240" s="222"/>
      <c r="B1240" s="217" t="s">
        <v>1800</v>
      </c>
      <c r="C1240" s="214"/>
      <c r="D1240" s="407"/>
      <c r="E1240" s="426"/>
      <c r="F1240" s="422"/>
      <c r="G1240" s="369"/>
    </row>
    <row r="1241" spans="1:21" x14ac:dyDescent="0.2">
      <c r="A1241" s="222"/>
      <c r="B1241" s="217" t="s">
        <v>1801</v>
      </c>
      <c r="C1241" s="214">
        <v>5</v>
      </c>
      <c r="D1241" s="407" t="s">
        <v>110</v>
      </c>
      <c r="E1241" s="426">
        <v>188000</v>
      </c>
      <c r="F1241" s="422">
        <f>E1241*C1241</f>
        <v>940000</v>
      </c>
      <c r="G1241" s="369"/>
    </row>
    <row r="1242" spans="1:21" x14ac:dyDescent="0.2">
      <c r="A1242" s="509"/>
      <c r="B1242" s="217"/>
      <c r="C1242" s="214"/>
      <c r="D1242" s="407"/>
      <c r="E1242" s="426"/>
      <c r="F1242" s="422"/>
      <c r="G1242" s="369"/>
    </row>
    <row r="1243" spans="1:21" x14ac:dyDescent="0.2">
      <c r="A1243" s="257" t="s">
        <v>775</v>
      </c>
      <c r="B1243" s="217" t="s">
        <v>304</v>
      </c>
      <c r="C1243" s="214"/>
      <c r="D1243" s="407"/>
      <c r="E1243" s="426"/>
      <c r="F1243" s="422"/>
      <c r="G1243" s="369"/>
    </row>
    <row r="1244" spans="1:21" ht="24" x14ac:dyDescent="0.2">
      <c r="A1244" s="257" t="s">
        <v>781</v>
      </c>
      <c r="B1244" s="213" t="s">
        <v>354</v>
      </c>
      <c r="C1244" s="214"/>
      <c r="D1244" s="407"/>
      <c r="E1244" s="426"/>
      <c r="F1244" s="368"/>
      <c r="G1244" s="369"/>
    </row>
    <row r="1245" spans="1:21" ht="24" x14ac:dyDescent="0.2">
      <c r="A1245" s="579"/>
      <c r="B1245" s="364" t="s">
        <v>2768</v>
      </c>
      <c r="C1245" s="235">
        <v>60</v>
      </c>
      <c r="D1245" s="451" t="s">
        <v>279</v>
      </c>
      <c r="E1245" s="426">
        <v>200000</v>
      </c>
      <c r="F1245" s="580">
        <f>E1245*C1245</f>
        <v>12000000</v>
      </c>
      <c r="G1245" s="369"/>
    </row>
    <row r="1246" spans="1:21" x14ac:dyDescent="0.2">
      <c r="A1246" s="222"/>
      <c r="B1246" s="217"/>
      <c r="C1246" s="214"/>
      <c r="D1246" s="407"/>
      <c r="E1246" s="215"/>
      <c r="F1246" s="408"/>
      <c r="G1246" s="369"/>
    </row>
    <row r="1247" spans="1:21" ht="24" x14ac:dyDescent="0.2">
      <c r="A1247" s="433"/>
      <c r="B1247" s="1841" t="s">
        <v>26</v>
      </c>
      <c r="C1247" s="1992"/>
      <c r="D1247" s="1992"/>
      <c r="E1247" s="1992"/>
      <c r="F1247" s="408">
        <f>SUM(F1231:F1246)</f>
        <v>14133000</v>
      </c>
      <c r="G1247" s="369" t="s">
        <v>2571</v>
      </c>
      <c r="U1247" s="457">
        <f>F1247</f>
        <v>14133000</v>
      </c>
    </row>
    <row r="1248" spans="1:21" x14ac:dyDescent="0.2">
      <c r="A1248" s="185"/>
      <c r="B1248" s="581"/>
      <c r="C1248" s="581"/>
      <c r="D1248" s="581"/>
      <c r="E1248" s="581"/>
      <c r="F1248" s="582"/>
      <c r="G1248" s="430"/>
    </row>
    <row r="1249" spans="1:7" x14ac:dyDescent="0.2">
      <c r="A1249" s="1762" t="s">
        <v>549</v>
      </c>
      <c r="B1249" s="1762"/>
      <c r="C1249" s="188" t="s">
        <v>27</v>
      </c>
      <c r="D1249" s="1763" t="s">
        <v>1429</v>
      </c>
      <c r="E1249" s="1763"/>
      <c r="F1249" s="1763"/>
      <c r="G1249" s="188"/>
    </row>
    <row r="1250" spans="1:7" x14ac:dyDescent="0.2">
      <c r="A1250" s="1762" t="s">
        <v>28</v>
      </c>
      <c r="B1250" s="1762"/>
      <c r="C1250" s="188"/>
      <c r="D1250" s="1764" t="s">
        <v>2833</v>
      </c>
      <c r="E1250" s="1764"/>
      <c r="F1250" s="1764"/>
      <c r="G1250" s="188"/>
    </row>
    <row r="1251" spans="1:7" x14ac:dyDescent="0.2">
      <c r="A1251" s="186"/>
      <c r="B1251" s="187"/>
      <c r="C1251" s="188"/>
      <c r="D1251" s="189"/>
      <c r="E1251" s="218"/>
      <c r="F1251" s="218"/>
      <c r="G1251" s="188"/>
    </row>
    <row r="1252" spans="1:7" x14ac:dyDescent="0.2">
      <c r="A1252" s="186"/>
      <c r="B1252" s="187"/>
      <c r="C1252" s="188"/>
      <c r="D1252" s="189"/>
      <c r="E1252" s="218"/>
      <c r="F1252" s="218"/>
      <c r="G1252" s="188"/>
    </row>
    <row r="1253" spans="1:7" x14ac:dyDescent="0.2">
      <c r="A1253" s="1762"/>
      <c r="B1253" s="1762"/>
      <c r="C1253" s="188"/>
      <c r="D1253" s="189"/>
      <c r="E1253" s="1762"/>
      <c r="F1253" s="1762"/>
      <c r="G1253" s="188"/>
    </row>
    <row r="1254" spans="1:7" x14ac:dyDescent="0.2">
      <c r="A1254" s="1762" t="s">
        <v>29</v>
      </c>
      <c r="B1254" s="1762"/>
      <c r="C1254" s="188"/>
      <c r="D1254" s="1762" t="s">
        <v>2954</v>
      </c>
      <c r="E1254" s="1762"/>
      <c r="F1254" s="1762"/>
      <c r="G1254" s="188"/>
    </row>
    <row r="1256" spans="1:7" x14ac:dyDescent="0.2">
      <c r="A1256" s="1991" t="s">
        <v>0</v>
      </c>
      <c r="B1256" s="1991"/>
      <c r="C1256" s="1991"/>
      <c r="D1256" s="1991"/>
      <c r="E1256" s="1991"/>
      <c r="F1256" s="1991"/>
      <c r="G1256" s="1991"/>
    </row>
    <row r="1257" spans="1:7" x14ac:dyDescent="0.2">
      <c r="A1257" s="1991" t="s">
        <v>1</v>
      </c>
      <c r="B1257" s="1991"/>
      <c r="C1257" s="1991"/>
      <c r="D1257" s="1991"/>
      <c r="E1257" s="1991"/>
      <c r="F1257" s="1991"/>
      <c r="G1257" s="1991"/>
    </row>
    <row r="1258" spans="1:7" x14ac:dyDescent="0.2">
      <c r="A1258" s="1991" t="s">
        <v>1769</v>
      </c>
      <c r="B1258" s="1991"/>
      <c r="C1258" s="1991"/>
      <c r="D1258" s="1991"/>
      <c r="E1258" s="1991"/>
      <c r="F1258" s="1991"/>
      <c r="G1258" s="1991"/>
    </row>
    <row r="1259" spans="1:7" x14ac:dyDescent="0.2">
      <c r="A1259" s="1510" t="s">
        <v>690</v>
      </c>
      <c r="B1259" s="1510" t="s">
        <v>689</v>
      </c>
      <c r="C1259" s="1510"/>
      <c r="D1259" s="1510"/>
      <c r="E1259" s="1420" t="s">
        <v>6</v>
      </c>
      <c r="F1259" s="1420" t="s">
        <v>63</v>
      </c>
      <c r="G1259" s="1510"/>
    </row>
    <row r="1260" spans="1:7" x14ac:dyDescent="0.2">
      <c r="A1260" s="1318" t="s">
        <v>247</v>
      </c>
      <c r="B1260" s="1318" t="s">
        <v>688</v>
      </c>
      <c r="C1260" s="1318"/>
      <c r="D1260" s="1419"/>
      <c r="E1260" s="1524" t="s">
        <v>515</v>
      </c>
      <c r="F1260" s="1524" t="s">
        <v>63</v>
      </c>
      <c r="G1260" s="1510"/>
    </row>
    <row r="1261" spans="1:7" ht="48" x14ac:dyDescent="0.2">
      <c r="A1261" s="1318" t="s">
        <v>687</v>
      </c>
      <c r="B1261" s="1319" t="s">
        <v>1818</v>
      </c>
      <c r="C1261" s="1318"/>
      <c r="D1261" s="1419"/>
      <c r="E1261" s="1525"/>
      <c r="F1261" s="1318"/>
      <c r="G1261" s="1510"/>
    </row>
    <row r="1262" spans="1:7" x14ac:dyDescent="0.2">
      <c r="A1262" s="1510" t="s">
        <v>521</v>
      </c>
      <c r="B1262" s="1510" t="s">
        <v>546</v>
      </c>
      <c r="C1262" s="1510"/>
      <c r="D1262" s="1510"/>
      <c r="E1262" s="1510"/>
      <c r="F1262" s="1510"/>
      <c r="G1262" s="1510"/>
    </row>
    <row r="1263" spans="1:7" x14ac:dyDescent="0.2">
      <c r="A1263" s="1952" t="s">
        <v>503</v>
      </c>
      <c r="B1263" s="1952"/>
      <c r="C1263" s="1510"/>
      <c r="D1263" s="1318"/>
      <c r="E1263" s="1526"/>
      <c r="F1263" s="1510"/>
      <c r="G1263" s="1510"/>
    </row>
    <row r="1264" spans="1:7" x14ac:dyDescent="0.2">
      <c r="A1264" s="1521"/>
      <c r="B1264" s="1521"/>
      <c r="C1264" s="1521"/>
      <c r="D1264" s="1521"/>
      <c r="E1264" s="1521"/>
      <c r="F1264" s="1521"/>
      <c r="G1264" s="1521"/>
    </row>
    <row r="1265" spans="1:7" ht="24" x14ac:dyDescent="0.2">
      <c r="A1265" s="1527" t="s">
        <v>547</v>
      </c>
      <c r="B1265" s="1527" t="s">
        <v>11</v>
      </c>
      <c r="C1265" s="1985" t="s">
        <v>12</v>
      </c>
      <c r="D1265" s="1986"/>
      <c r="E1265" s="1528" t="s">
        <v>13</v>
      </c>
      <c r="F1265" s="1527" t="s">
        <v>14</v>
      </c>
      <c r="G1265" s="1518" t="s">
        <v>266</v>
      </c>
    </row>
    <row r="1266" spans="1:7" x14ac:dyDescent="0.2">
      <c r="A1266" s="1529">
        <v>1</v>
      </c>
      <c r="B1266" s="1529">
        <v>2</v>
      </c>
      <c r="C1266" s="1987">
        <v>3</v>
      </c>
      <c r="D1266" s="1988"/>
      <c r="E1266" s="1530">
        <v>4</v>
      </c>
      <c r="F1266" s="1529">
        <v>5</v>
      </c>
      <c r="G1266" s="1518">
        <v>6</v>
      </c>
    </row>
    <row r="1267" spans="1:7" x14ac:dyDescent="0.2">
      <c r="A1267" s="1331" t="s">
        <v>720</v>
      </c>
      <c r="B1267" s="1509" t="s">
        <v>287</v>
      </c>
      <c r="C1267" s="1531"/>
      <c r="D1267" s="1532"/>
      <c r="E1267" s="1533"/>
      <c r="F1267" s="1508"/>
      <c r="G1267" s="1507"/>
    </row>
    <row r="1268" spans="1:7" x14ac:dyDescent="0.2">
      <c r="A1268" s="1331" t="s">
        <v>721</v>
      </c>
      <c r="B1268" s="1509" t="s">
        <v>86</v>
      </c>
      <c r="C1268" s="1531"/>
      <c r="D1268" s="1532"/>
      <c r="E1268" s="1533"/>
      <c r="F1268" s="1508"/>
      <c r="G1268" s="1507"/>
    </row>
    <row r="1269" spans="1:7" ht="24" x14ac:dyDescent="0.2">
      <c r="A1269" s="1331" t="s">
        <v>722</v>
      </c>
      <c r="B1269" s="1356" t="s">
        <v>317</v>
      </c>
      <c r="C1269" s="1431"/>
      <c r="D1269" s="1505"/>
      <c r="E1269" s="1357"/>
      <c r="F1269" s="1508"/>
      <c r="G1269" s="1507"/>
    </row>
    <row r="1270" spans="1:7" x14ac:dyDescent="0.2">
      <c r="A1270" s="1507"/>
      <c r="B1270" s="1502" t="s">
        <v>708</v>
      </c>
      <c r="C1270" s="1431">
        <v>20</v>
      </c>
      <c r="D1270" s="1505" t="s">
        <v>507</v>
      </c>
      <c r="E1270" s="1357">
        <v>15000</v>
      </c>
      <c r="F1270" s="1508">
        <f>E1270*C1270</f>
        <v>300000</v>
      </c>
      <c r="G1270" s="1507"/>
    </row>
    <row r="1271" spans="1:7" x14ac:dyDescent="0.2">
      <c r="A1271" s="1331" t="s">
        <v>723</v>
      </c>
      <c r="B1271" s="1502" t="s">
        <v>1018</v>
      </c>
      <c r="C1271" s="1431"/>
      <c r="D1271" s="1505"/>
      <c r="E1271" s="1357"/>
      <c r="F1271" s="1508"/>
      <c r="G1271" s="1507"/>
    </row>
    <row r="1272" spans="1:7" x14ac:dyDescent="0.2">
      <c r="A1272" s="1331"/>
      <c r="B1272" s="1502" t="s">
        <v>1819</v>
      </c>
      <c r="C1272" s="1431">
        <v>1</v>
      </c>
      <c r="D1272" s="1505" t="s">
        <v>178</v>
      </c>
      <c r="E1272" s="1357">
        <v>20000000</v>
      </c>
      <c r="F1272" s="1508">
        <f>E1272*C1272</f>
        <v>20000000</v>
      </c>
      <c r="G1272" s="1507"/>
    </row>
    <row r="1273" spans="1:7" ht="24" x14ac:dyDescent="0.2">
      <c r="A1273" s="1331" t="s">
        <v>724</v>
      </c>
      <c r="B1273" s="1356" t="s">
        <v>337</v>
      </c>
      <c r="C1273" s="1431"/>
      <c r="D1273" s="1505"/>
      <c r="E1273" s="1357"/>
      <c r="F1273" s="1508"/>
      <c r="G1273" s="1507"/>
    </row>
    <row r="1274" spans="1:7" x14ac:dyDescent="0.2">
      <c r="A1274" s="1507"/>
      <c r="B1274" s="1502" t="s">
        <v>338</v>
      </c>
      <c r="C1274" s="1431">
        <v>1</v>
      </c>
      <c r="D1274" s="1505" t="s">
        <v>95</v>
      </c>
      <c r="E1274" s="1357">
        <v>90000</v>
      </c>
      <c r="F1274" s="1508">
        <f>E1274*C1274</f>
        <v>90000</v>
      </c>
      <c r="G1274" s="1507"/>
    </row>
    <row r="1275" spans="1:7" x14ac:dyDescent="0.2">
      <c r="A1275" s="1507"/>
      <c r="B1275" s="1502"/>
      <c r="C1275" s="1431"/>
      <c r="D1275" s="1505"/>
      <c r="E1275" s="1357"/>
      <c r="F1275" s="1508"/>
      <c r="G1275" s="1507"/>
    </row>
    <row r="1276" spans="1:7" x14ac:dyDescent="0.2">
      <c r="A1276" s="1331" t="s">
        <v>727</v>
      </c>
      <c r="B1276" s="1509" t="s">
        <v>304</v>
      </c>
      <c r="C1276" s="1431"/>
      <c r="D1276" s="1505"/>
      <c r="E1276" s="1357"/>
      <c r="F1276" s="1508"/>
      <c r="G1276" s="1507"/>
    </row>
    <row r="1277" spans="1:7" ht="36" x14ac:dyDescent="0.2">
      <c r="A1277" s="1331" t="s">
        <v>730</v>
      </c>
      <c r="B1277" s="1356" t="s">
        <v>718</v>
      </c>
      <c r="C1277" s="1431"/>
      <c r="D1277" s="1505"/>
      <c r="E1277" s="1357"/>
      <c r="F1277" s="1534"/>
      <c r="G1277" s="1507"/>
    </row>
    <row r="1278" spans="1:7" x14ac:dyDescent="0.2">
      <c r="A1278" s="1531"/>
      <c r="B1278" s="1356" t="s">
        <v>429</v>
      </c>
      <c r="C1278" s="1431">
        <v>1</v>
      </c>
      <c r="D1278" s="1505" t="s">
        <v>279</v>
      </c>
      <c r="E1278" s="1357">
        <v>300000</v>
      </c>
      <c r="F1278" s="1534">
        <f>E1278*C1278</f>
        <v>300000</v>
      </c>
      <c r="G1278" s="1507"/>
    </row>
    <row r="1279" spans="1:7" x14ac:dyDescent="0.2">
      <c r="A1279" s="1531"/>
      <c r="B1279" s="1356" t="s">
        <v>535</v>
      </c>
      <c r="C1279" s="1431">
        <v>1</v>
      </c>
      <c r="D1279" s="1505" t="s">
        <v>279</v>
      </c>
      <c r="E1279" s="1357">
        <v>250000</v>
      </c>
      <c r="F1279" s="1534">
        <f>E1279*C1279</f>
        <v>250000</v>
      </c>
      <c r="G1279" s="1507"/>
    </row>
    <row r="1280" spans="1:7" x14ac:dyDescent="0.2">
      <c r="A1280" s="1531"/>
      <c r="B1280" s="1356" t="s">
        <v>518</v>
      </c>
      <c r="C1280" s="1431">
        <v>1</v>
      </c>
      <c r="D1280" s="1505" t="s">
        <v>279</v>
      </c>
      <c r="E1280" s="1357">
        <v>200000</v>
      </c>
      <c r="F1280" s="1534">
        <f>E1280*C1280</f>
        <v>200000</v>
      </c>
      <c r="G1280" s="1507"/>
    </row>
    <row r="1281" spans="1:20" x14ac:dyDescent="0.2">
      <c r="A1281" s="1507"/>
      <c r="B1281" s="1989" t="s">
        <v>26</v>
      </c>
      <c r="C1281" s="1989"/>
      <c r="D1281" s="1989"/>
      <c r="E1281" s="1989"/>
      <c r="F1281" s="1508"/>
      <c r="G1281" s="1507" t="s">
        <v>2570</v>
      </c>
      <c r="L1281" s="457"/>
      <c r="T1281" s="457">
        <f>F1281</f>
        <v>0</v>
      </c>
    </row>
    <row r="1282" spans="1:20" x14ac:dyDescent="0.2">
      <c r="A1282" s="1521"/>
      <c r="B1282" s="1521"/>
      <c r="C1282" s="1521"/>
      <c r="D1282" s="1521"/>
      <c r="E1282" s="1521"/>
      <c r="F1282" s="1521" t="s">
        <v>2758</v>
      </c>
      <c r="G1282" s="1521"/>
    </row>
    <row r="1283" spans="1:20" x14ac:dyDescent="0.2">
      <c r="A1283" s="1521"/>
      <c r="B1283" s="1521"/>
      <c r="C1283" s="1521"/>
      <c r="D1283" s="1521"/>
      <c r="E1283" s="1521"/>
      <c r="F1283" s="1521"/>
      <c r="G1283" s="1521"/>
    </row>
    <row r="1284" spans="1:20" x14ac:dyDescent="0.2">
      <c r="A1284" s="1933" t="s">
        <v>549</v>
      </c>
      <c r="B1284" s="1933"/>
      <c r="C1284" s="1421" t="s">
        <v>27</v>
      </c>
      <c r="D1284" s="1933" t="s">
        <v>1429</v>
      </c>
      <c r="E1284" s="1933"/>
      <c r="F1284" s="1933"/>
      <c r="G1284" s="1933"/>
    </row>
    <row r="1285" spans="1:20" x14ac:dyDescent="0.2">
      <c r="A1285" s="1933" t="s">
        <v>28</v>
      </c>
      <c r="B1285" s="1933"/>
      <c r="C1285" s="1421"/>
      <c r="D1285" s="1990" t="s">
        <v>1777</v>
      </c>
      <c r="E1285" s="1990"/>
      <c r="F1285" s="1990"/>
      <c r="G1285" s="1990"/>
    </row>
    <row r="1286" spans="1:20" x14ac:dyDescent="0.2">
      <c r="A1286" s="1433"/>
      <c r="B1286" s="1423"/>
      <c r="C1286" s="1421"/>
      <c r="D1286" s="1432"/>
      <c r="E1286" s="1422"/>
      <c r="F1286" s="1422"/>
      <c r="G1286" s="1421"/>
    </row>
    <row r="1287" spans="1:20" x14ac:dyDescent="0.2">
      <c r="A1287" s="1433"/>
      <c r="B1287" s="1423"/>
      <c r="C1287" s="1421"/>
      <c r="D1287" s="1432"/>
      <c r="E1287" s="1422"/>
      <c r="F1287" s="1523"/>
      <c r="G1287" s="1421"/>
    </row>
    <row r="1288" spans="1:20" x14ac:dyDescent="0.2">
      <c r="A1288" s="1933"/>
      <c r="B1288" s="1933"/>
      <c r="C1288" s="1421"/>
      <c r="D1288" s="1432"/>
      <c r="E1288" s="2010"/>
      <c r="F1288" s="1933"/>
      <c r="G1288" s="1421"/>
    </row>
    <row r="1289" spans="1:20" x14ac:dyDescent="0.2">
      <c r="A1289" s="1933" t="s">
        <v>29</v>
      </c>
      <c r="B1289" s="1933"/>
      <c r="C1289" s="1421"/>
      <c r="D1289" s="1933" t="s">
        <v>550</v>
      </c>
      <c r="E1289" s="1933"/>
      <c r="F1289" s="1933"/>
      <c r="G1289" s="1933"/>
    </row>
    <row r="1290" spans="1:20" x14ac:dyDescent="0.2">
      <c r="A1290" s="1765" t="s">
        <v>0</v>
      </c>
      <c r="B1290" s="1765"/>
      <c r="C1290" s="1765"/>
      <c r="D1290" s="1765"/>
      <c r="E1290" s="1765"/>
      <c r="F1290" s="1765"/>
      <c r="G1290" s="1765"/>
    </row>
    <row r="1291" spans="1:20" x14ac:dyDescent="0.2">
      <c r="A1291" s="1765" t="s">
        <v>1</v>
      </c>
      <c r="B1291" s="1765"/>
      <c r="C1291" s="1765"/>
      <c r="D1291" s="1765"/>
      <c r="E1291" s="1765"/>
      <c r="F1291" s="1765"/>
      <c r="G1291" s="1765"/>
    </row>
    <row r="1292" spans="1:20" x14ac:dyDescent="0.2">
      <c r="A1292" s="1765" t="s">
        <v>1769</v>
      </c>
      <c r="B1292" s="1765"/>
      <c r="C1292" s="1765"/>
      <c r="D1292" s="1765"/>
      <c r="E1292" s="1765"/>
      <c r="F1292" s="1765"/>
      <c r="G1292" s="1765"/>
    </row>
    <row r="1293" spans="1:20" x14ac:dyDescent="0.2">
      <c r="A1293" s="185" t="s">
        <v>710</v>
      </c>
      <c r="B1293" s="185" t="s">
        <v>711</v>
      </c>
      <c r="C1293" s="185"/>
      <c r="D1293" s="185"/>
      <c r="E1293" s="227" t="s">
        <v>6</v>
      </c>
      <c r="F1293" s="227" t="s">
        <v>63</v>
      </c>
      <c r="G1293" s="185"/>
    </row>
    <row r="1294" spans="1:20" x14ac:dyDescent="0.2">
      <c r="A1294" s="385" t="s">
        <v>712</v>
      </c>
      <c r="B1294" s="385" t="s">
        <v>713</v>
      </c>
      <c r="C1294" s="385"/>
      <c r="D1294" s="184"/>
      <c r="E1294" s="195" t="s">
        <v>9</v>
      </c>
      <c r="F1294" s="578" t="s">
        <v>63</v>
      </c>
      <c r="G1294" s="185"/>
    </row>
    <row r="1295" spans="1:20" ht="43.5" customHeight="1" x14ac:dyDescent="0.2">
      <c r="A1295" s="507" t="s">
        <v>687</v>
      </c>
      <c r="B1295" s="386" t="s">
        <v>785</v>
      </c>
      <c r="C1295" s="385"/>
      <c r="D1295" s="184"/>
      <c r="E1295" s="468"/>
      <c r="F1295" s="385"/>
      <c r="G1295" s="185"/>
    </row>
    <row r="1296" spans="1:20" x14ac:dyDescent="0.2">
      <c r="A1296" s="185" t="s">
        <v>60</v>
      </c>
      <c r="B1296" s="185" t="s">
        <v>61</v>
      </c>
      <c r="C1296" s="185"/>
      <c r="D1296" s="185"/>
      <c r="E1296" s="185"/>
      <c r="F1296" s="185"/>
      <c r="G1296" s="185"/>
    </row>
    <row r="1297" spans="1:7" x14ac:dyDescent="0.2">
      <c r="A1297" s="1893" t="s">
        <v>503</v>
      </c>
      <c r="B1297" s="1893"/>
      <c r="C1297" s="185"/>
      <c r="D1297" s="385"/>
      <c r="E1297" s="431"/>
      <c r="F1297" s="185"/>
      <c r="G1297" s="185"/>
    </row>
    <row r="1298" spans="1:7" ht="24" x14ac:dyDescent="0.2">
      <c r="A1298" s="461" t="s">
        <v>30</v>
      </c>
      <c r="B1298" s="461" t="s">
        <v>11</v>
      </c>
      <c r="C1298" s="1972" t="s">
        <v>12</v>
      </c>
      <c r="D1298" s="1973"/>
      <c r="E1298" s="462" t="s">
        <v>13</v>
      </c>
      <c r="F1298" s="461" t="s">
        <v>14</v>
      </c>
      <c r="G1298" s="200" t="s">
        <v>34</v>
      </c>
    </row>
    <row r="1299" spans="1:7" x14ac:dyDescent="0.2">
      <c r="A1299" s="200">
        <v>1</v>
      </c>
      <c r="B1299" s="200">
        <v>2</v>
      </c>
      <c r="C1299" s="1789">
        <v>3</v>
      </c>
      <c r="D1299" s="1789"/>
      <c r="E1299" s="491">
        <v>4</v>
      </c>
      <c r="F1299" s="200">
        <v>5</v>
      </c>
      <c r="G1299" s="200">
        <v>6</v>
      </c>
    </row>
    <row r="1300" spans="1:7" x14ac:dyDescent="0.2">
      <c r="A1300" s="391" t="s">
        <v>778</v>
      </c>
      <c r="B1300" s="369" t="s">
        <v>287</v>
      </c>
      <c r="C1300" s="419"/>
      <c r="D1300" s="420"/>
      <c r="E1300" s="491"/>
      <c r="F1300" s="200"/>
      <c r="G1300" s="222"/>
    </row>
    <row r="1301" spans="1:7" ht="21.75" customHeight="1" x14ac:dyDescent="0.2">
      <c r="A1301" s="391" t="s">
        <v>777</v>
      </c>
      <c r="B1301" s="369" t="s">
        <v>86</v>
      </c>
      <c r="C1301" s="419"/>
      <c r="D1301" s="420"/>
      <c r="E1301" s="491"/>
      <c r="F1301" s="200"/>
      <c r="G1301" s="222"/>
    </row>
    <row r="1302" spans="1:7" ht="29.25" customHeight="1" x14ac:dyDescent="0.2">
      <c r="A1302" s="257" t="s">
        <v>782</v>
      </c>
      <c r="B1302" s="369" t="s">
        <v>738</v>
      </c>
      <c r="C1302" s="419"/>
      <c r="D1302" s="420"/>
      <c r="E1302" s="491"/>
      <c r="F1302" s="200"/>
      <c r="G1302" s="222"/>
    </row>
    <row r="1303" spans="1:7" x14ac:dyDescent="0.2">
      <c r="A1303" s="200"/>
      <c r="B1303" s="463" t="s">
        <v>2779</v>
      </c>
      <c r="C1303" s="205">
        <v>2</v>
      </c>
      <c r="D1303" s="206" t="s">
        <v>89</v>
      </c>
      <c r="E1303" s="175">
        <v>70000</v>
      </c>
      <c r="F1303" s="175">
        <f>C1303*E1303</f>
        <v>140000</v>
      </c>
      <c r="G1303" s="369"/>
    </row>
    <row r="1304" spans="1:7" x14ac:dyDescent="0.2">
      <c r="A1304" s="200"/>
      <c r="B1304" s="465" t="s">
        <v>275</v>
      </c>
      <c r="C1304" s="205">
        <v>130</v>
      </c>
      <c r="D1304" s="206" t="s">
        <v>276</v>
      </c>
      <c r="E1304" s="175">
        <v>400</v>
      </c>
      <c r="F1304" s="175">
        <f>C1304*E1304</f>
        <v>52000</v>
      </c>
      <c r="G1304" s="369"/>
    </row>
    <row r="1305" spans="1:7" x14ac:dyDescent="0.2">
      <c r="A1305" s="200"/>
      <c r="B1305" s="463" t="s">
        <v>2802</v>
      </c>
      <c r="C1305" s="205">
        <v>30</v>
      </c>
      <c r="D1305" s="206" t="s">
        <v>272</v>
      </c>
      <c r="E1305" s="175">
        <v>3600</v>
      </c>
      <c r="F1305" s="175">
        <f>C1305*E1305</f>
        <v>108000</v>
      </c>
      <c r="G1305" s="369"/>
    </row>
    <row r="1306" spans="1:7" x14ac:dyDescent="0.2">
      <c r="A1306" s="222"/>
      <c r="B1306" s="242" t="s">
        <v>1772</v>
      </c>
      <c r="C1306" s="205">
        <v>30</v>
      </c>
      <c r="D1306" s="206" t="s">
        <v>272</v>
      </c>
      <c r="E1306" s="175">
        <v>27000</v>
      </c>
      <c r="F1306" s="175">
        <f>C1306*E1306</f>
        <v>810000</v>
      </c>
      <c r="G1306" s="369"/>
    </row>
    <row r="1307" spans="1:7" x14ac:dyDescent="0.2">
      <c r="A1307" s="222"/>
      <c r="B1307" s="217"/>
      <c r="C1307" s="214"/>
      <c r="D1307" s="407"/>
      <c r="E1307" s="230"/>
      <c r="F1307" s="408"/>
      <c r="G1307" s="369"/>
    </row>
    <row r="1308" spans="1:7" ht="31.5" customHeight="1" x14ac:dyDescent="0.2">
      <c r="A1308" s="257" t="s">
        <v>776</v>
      </c>
      <c r="B1308" s="213" t="s">
        <v>317</v>
      </c>
      <c r="C1308" s="214"/>
      <c r="D1308" s="407"/>
      <c r="E1308" s="215"/>
      <c r="F1308" s="408"/>
      <c r="G1308" s="369"/>
    </row>
    <row r="1309" spans="1:7" x14ac:dyDescent="0.2">
      <c r="A1309" s="222"/>
      <c r="B1309" s="217" t="s">
        <v>679</v>
      </c>
      <c r="C1309" s="214"/>
      <c r="D1309" s="407"/>
      <c r="E1309" s="230"/>
      <c r="F1309" s="422"/>
      <c r="G1309" s="369"/>
    </row>
    <row r="1310" spans="1:7" x14ac:dyDescent="0.2">
      <c r="A1310" s="222"/>
      <c r="B1310" s="217" t="s">
        <v>784</v>
      </c>
      <c r="C1310" s="214">
        <v>60</v>
      </c>
      <c r="D1310" s="407" t="s">
        <v>279</v>
      </c>
      <c r="E1310" s="215">
        <v>15000</v>
      </c>
      <c r="F1310" s="422">
        <f>E1310*C1310</f>
        <v>900000</v>
      </c>
      <c r="G1310" s="369"/>
    </row>
    <row r="1311" spans="1:7" x14ac:dyDescent="0.2">
      <c r="A1311" s="222"/>
      <c r="B1311" s="217"/>
      <c r="C1311" s="214"/>
      <c r="D1311" s="407"/>
      <c r="E1311" s="426"/>
      <c r="F1311" s="422"/>
      <c r="G1311" s="369"/>
    </row>
    <row r="1312" spans="1:7" x14ac:dyDescent="0.2">
      <c r="A1312" s="257" t="s">
        <v>775</v>
      </c>
      <c r="B1312" s="217" t="s">
        <v>304</v>
      </c>
      <c r="C1312" s="214"/>
      <c r="D1312" s="407"/>
      <c r="E1312" s="426"/>
      <c r="F1312" s="422"/>
      <c r="G1312" s="369"/>
    </row>
    <row r="1313" spans="1:13" ht="20.25" customHeight="1" x14ac:dyDescent="0.2">
      <c r="A1313" s="257" t="s">
        <v>781</v>
      </c>
      <c r="B1313" s="213" t="s">
        <v>354</v>
      </c>
      <c r="C1313" s="214"/>
      <c r="D1313" s="407"/>
      <c r="E1313" s="426"/>
      <c r="F1313" s="368"/>
      <c r="G1313" s="369"/>
    </row>
    <row r="1314" spans="1:13" ht="30" customHeight="1" x14ac:dyDescent="0.2">
      <c r="A1314" s="579"/>
      <c r="B1314" s="364" t="s">
        <v>1606</v>
      </c>
      <c r="C1314" s="235">
        <v>60</v>
      </c>
      <c r="D1314" s="451" t="s">
        <v>279</v>
      </c>
      <c r="E1314" s="426">
        <v>200000</v>
      </c>
      <c r="F1314" s="580">
        <f>E1314*C1314</f>
        <v>12000000</v>
      </c>
      <c r="G1314" s="369"/>
    </row>
    <row r="1315" spans="1:13" x14ac:dyDescent="0.2">
      <c r="A1315" s="222"/>
      <c r="B1315" s="217"/>
      <c r="C1315" s="214"/>
      <c r="D1315" s="407"/>
      <c r="E1315" s="215"/>
      <c r="F1315" s="408"/>
      <c r="G1315" s="369"/>
    </row>
    <row r="1316" spans="1:13" x14ac:dyDescent="0.2">
      <c r="A1316" s="433"/>
      <c r="B1316" s="1841" t="s">
        <v>26</v>
      </c>
      <c r="C1316" s="1992"/>
      <c r="D1316" s="1992"/>
      <c r="E1316" s="1992"/>
      <c r="F1316" s="408">
        <f>SUM(F1303:F1315)</f>
        <v>14010000</v>
      </c>
      <c r="G1316" s="369" t="s">
        <v>2565</v>
      </c>
      <c r="M1316" s="457">
        <f>F1316</f>
        <v>14010000</v>
      </c>
    </row>
    <row r="1317" spans="1:13" x14ac:dyDescent="0.2">
      <c r="A1317" s="185"/>
      <c r="B1317" s="581"/>
      <c r="C1317" s="581"/>
      <c r="D1317" s="581"/>
      <c r="E1317" s="581"/>
      <c r="F1317" s="582"/>
      <c r="G1317" s="430"/>
    </row>
    <row r="1318" spans="1:13" x14ac:dyDescent="0.2">
      <c r="A1318" s="1762" t="s">
        <v>549</v>
      </c>
      <c r="B1318" s="1762"/>
      <c r="C1318" s="188" t="s">
        <v>27</v>
      </c>
      <c r="D1318" s="1763" t="s">
        <v>1429</v>
      </c>
      <c r="E1318" s="1763"/>
      <c r="F1318" s="1763"/>
      <c r="G1318" s="188"/>
    </row>
    <row r="1319" spans="1:13" x14ac:dyDescent="0.2">
      <c r="A1319" s="1762" t="s">
        <v>28</v>
      </c>
      <c r="B1319" s="1762"/>
      <c r="C1319" s="188"/>
      <c r="D1319" s="1764" t="s">
        <v>2833</v>
      </c>
      <c r="E1319" s="1764"/>
      <c r="F1319" s="1764"/>
      <c r="G1319" s="188"/>
    </row>
    <row r="1320" spans="1:13" x14ac:dyDescent="0.2">
      <c r="A1320" s="186"/>
      <c r="B1320" s="187"/>
      <c r="C1320" s="188"/>
      <c r="D1320" s="189"/>
      <c r="E1320" s="218"/>
      <c r="F1320" s="218"/>
      <c r="G1320" s="188"/>
    </row>
    <row r="1321" spans="1:13" x14ac:dyDescent="0.2">
      <c r="A1321" s="186"/>
      <c r="B1321" s="187"/>
      <c r="C1321" s="188"/>
      <c r="D1321" s="189"/>
      <c r="E1321" s="218"/>
      <c r="F1321" s="218"/>
      <c r="G1321" s="188"/>
    </row>
    <row r="1322" spans="1:13" x14ac:dyDescent="0.2">
      <c r="A1322" s="1762"/>
      <c r="B1322" s="1762"/>
      <c r="C1322" s="188"/>
      <c r="D1322" s="189"/>
      <c r="E1322" s="1762"/>
      <c r="F1322" s="1762"/>
      <c r="G1322" s="188"/>
    </row>
    <row r="1323" spans="1:13" x14ac:dyDescent="0.2">
      <c r="A1323" s="1762" t="s">
        <v>29</v>
      </c>
      <c r="B1323" s="1762"/>
      <c r="C1323" s="188"/>
      <c r="D1323" s="1762" t="s">
        <v>2954</v>
      </c>
      <c r="E1323" s="1762"/>
      <c r="F1323" s="1762"/>
      <c r="G1323" s="188"/>
    </row>
    <row r="1324" spans="1:13" x14ac:dyDescent="0.2">
      <c r="A1324" s="185"/>
      <c r="B1324" s="581"/>
      <c r="C1324" s="581"/>
      <c r="D1324" s="581"/>
      <c r="E1324" s="581"/>
      <c r="F1324" s="582"/>
      <c r="G1324" s="430"/>
    </row>
    <row r="1325" spans="1:13" x14ac:dyDescent="0.2">
      <c r="A1325" s="1765" t="s">
        <v>0</v>
      </c>
      <c r="B1325" s="1765"/>
      <c r="C1325" s="1765"/>
      <c r="D1325" s="1765"/>
      <c r="E1325" s="1765"/>
      <c r="F1325" s="1765"/>
      <c r="G1325" s="185"/>
    </row>
    <row r="1326" spans="1:13" x14ac:dyDescent="0.2">
      <c r="A1326" s="1765" t="s">
        <v>1</v>
      </c>
      <c r="B1326" s="1765"/>
      <c r="C1326" s="1765"/>
      <c r="D1326" s="1765"/>
      <c r="E1326" s="1765"/>
      <c r="F1326" s="1765"/>
      <c r="G1326" s="185"/>
    </row>
    <row r="1327" spans="1:13" x14ac:dyDescent="0.2">
      <c r="A1327" s="1765" t="s">
        <v>1769</v>
      </c>
      <c r="B1327" s="1765"/>
      <c r="C1327" s="1765"/>
      <c r="D1327" s="1765"/>
      <c r="E1327" s="1765"/>
      <c r="F1327" s="1765"/>
      <c r="G1327" s="185"/>
    </row>
    <row r="1328" spans="1:13" x14ac:dyDescent="0.2">
      <c r="A1328" s="184"/>
      <c r="B1328" s="184"/>
      <c r="C1328" s="184"/>
      <c r="D1328" s="184"/>
      <c r="E1328" s="184"/>
      <c r="F1328" s="184"/>
      <c r="G1328" s="185"/>
    </row>
    <row r="1329" spans="1:7" x14ac:dyDescent="0.2">
      <c r="A1329" s="185" t="s">
        <v>805</v>
      </c>
      <c r="B1329" s="185" t="s">
        <v>689</v>
      </c>
      <c r="C1329" s="185"/>
      <c r="D1329" s="185"/>
      <c r="E1329" s="190" t="s">
        <v>6</v>
      </c>
      <c r="F1329" s="190"/>
      <c r="G1329" s="185"/>
    </row>
    <row r="1330" spans="1:7" x14ac:dyDescent="0.2">
      <c r="A1330" s="385" t="s">
        <v>247</v>
      </c>
      <c r="B1330" s="385" t="s">
        <v>688</v>
      </c>
      <c r="C1330" s="385"/>
      <c r="D1330" s="184"/>
      <c r="E1330" s="558" t="s">
        <v>515</v>
      </c>
      <c r="F1330" s="558"/>
      <c r="G1330" s="185"/>
    </row>
    <row r="1331" spans="1:7" x14ac:dyDescent="0.2">
      <c r="A1331" s="507" t="s">
        <v>804</v>
      </c>
      <c r="B1331" s="505" t="s">
        <v>803</v>
      </c>
      <c r="C1331" s="385"/>
      <c r="D1331" s="184"/>
      <c r="G1331" s="185"/>
    </row>
    <row r="1332" spans="1:7" x14ac:dyDescent="0.2">
      <c r="A1332" s="185" t="s">
        <v>521</v>
      </c>
      <c r="B1332" s="185" t="s">
        <v>546</v>
      </c>
      <c r="C1332" s="185"/>
      <c r="D1332" s="185"/>
      <c r="E1332" s="185"/>
      <c r="F1332" s="185"/>
      <c r="G1332" s="185"/>
    </row>
    <row r="1333" spans="1:7" x14ac:dyDescent="0.2">
      <c r="A1333" s="1893" t="s">
        <v>503</v>
      </c>
      <c r="B1333" s="1893"/>
      <c r="C1333" s="185"/>
      <c r="D1333" s="184"/>
      <c r="E1333" s="559"/>
      <c r="F1333" s="185"/>
      <c r="G1333" s="185"/>
    </row>
    <row r="1334" spans="1:7" x14ac:dyDescent="0.2">
      <c r="A1334" s="385"/>
      <c r="B1334" s="385"/>
      <c r="C1334" s="185"/>
      <c r="D1334" s="184"/>
      <c r="E1334" s="559"/>
      <c r="F1334" s="185"/>
      <c r="G1334" s="185"/>
    </row>
    <row r="1335" spans="1:7" ht="24" x14ac:dyDescent="0.2">
      <c r="A1335" s="461" t="s">
        <v>30</v>
      </c>
      <c r="B1335" s="461" t="s">
        <v>11</v>
      </c>
      <c r="C1335" s="1972" t="s">
        <v>12</v>
      </c>
      <c r="D1335" s="1973"/>
      <c r="E1335" s="560" t="s">
        <v>13</v>
      </c>
      <c r="F1335" s="461" t="s">
        <v>14</v>
      </c>
      <c r="G1335" s="200" t="s">
        <v>34</v>
      </c>
    </row>
    <row r="1336" spans="1:7" x14ac:dyDescent="0.2">
      <c r="A1336" s="200">
        <v>1</v>
      </c>
      <c r="B1336" s="200">
        <v>2</v>
      </c>
      <c r="C1336" s="1789">
        <v>3</v>
      </c>
      <c r="D1336" s="1789"/>
      <c r="E1336" s="201">
        <v>4</v>
      </c>
      <c r="F1336" s="200">
        <v>5</v>
      </c>
      <c r="G1336" s="202">
        <v>6</v>
      </c>
    </row>
    <row r="1337" spans="1:7" x14ac:dyDescent="0.2">
      <c r="A1337" s="200"/>
      <c r="B1337" s="391"/>
      <c r="C1337" s="419"/>
      <c r="D1337" s="420"/>
      <c r="E1337" s="201"/>
      <c r="F1337" s="200"/>
      <c r="G1337" s="222"/>
    </row>
    <row r="1338" spans="1:7" x14ac:dyDescent="0.2">
      <c r="A1338" s="391" t="s">
        <v>802</v>
      </c>
      <c r="B1338" s="524" t="s">
        <v>746</v>
      </c>
      <c r="C1338" s="419"/>
      <c r="D1338" s="420"/>
      <c r="E1338" s="201"/>
      <c r="F1338" s="200"/>
      <c r="G1338" s="222"/>
    </row>
    <row r="1339" spans="1:7" x14ac:dyDescent="0.2">
      <c r="A1339" s="391" t="s">
        <v>801</v>
      </c>
      <c r="B1339" s="524" t="s">
        <v>745</v>
      </c>
      <c r="C1339" s="419"/>
      <c r="D1339" s="420"/>
      <c r="E1339" s="201"/>
      <c r="F1339" s="200"/>
      <c r="G1339" s="222"/>
    </row>
    <row r="1340" spans="1:7" ht="24" customHeight="1" x14ac:dyDescent="0.2">
      <c r="A1340" s="391" t="s">
        <v>800</v>
      </c>
      <c r="B1340" s="533" t="s">
        <v>799</v>
      </c>
      <c r="C1340" s="214"/>
      <c r="D1340" s="244"/>
      <c r="E1340" s="215"/>
      <c r="F1340" s="259"/>
      <c r="G1340" s="222"/>
    </row>
    <row r="1341" spans="1:7" x14ac:dyDescent="0.2">
      <c r="A1341" s="257"/>
      <c r="B1341" s="217" t="s">
        <v>1951</v>
      </c>
      <c r="C1341" s="214">
        <v>120</v>
      </c>
      <c r="D1341" s="244" t="s">
        <v>798</v>
      </c>
      <c r="E1341" s="215">
        <v>15000</v>
      </c>
      <c r="F1341" s="259">
        <f>E1341*C1341</f>
        <v>1800000</v>
      </c>
      <c r="G1341" s="222"/>
    </row>
    <row r="1342" spans="1:7" x14ac:dyDescent="0.2">
      <c r="A1342" s="391" t="s">
        <v>797</v>
      </c>
      <c r="B1342" s="550" t="s">
        <v>416</v>
      </c>
      <c r="C1342" s="214"/>
      <c r="D1342" s="244"/>
      <c r="E1342" s="231"/>
      <c r="F1342" s="259"/>
      <c r="G1342" s="222"/>
    </row>
    <row r="1343" spans="1:7" x14ac:dyDescent="0.2">
      <c r="A1343" s="509"/>
      <c r="B1343" s="217" t="s">
        <v>1952</v>
      </c>
      <c r="C1343" s="214">
        <v>100</v>
      </c>
      <c r="D1343" s="244" t="s">
        <v>795</v>
      </c>
      <c r="E1343" s="215">
        <v>15000</v>
      </c>
      <c r="F1343" s="259">
        <f t="shared" ref="F1343:F1349" si="23">E1343*C1343</f>
        <v>1500000</v>
      </c>
      <c r="G1343" s="222"/>
    </row>
    <row r="1344" spans="1:7" x14ac:dyDescent="0.2">
      <c r="A1344" s="257"/>
      <c r="B1344" s="217" t="s">
        <v>1953</v>
      </c>
      <c r="C1344" s="214">
        <v>250</v>
      </c>
      <c r="D1344" s="244" t="s">
        <v>795</v>
      </c>
      <c r="E1344" s="215">
        <v>17000</v>
      </c>
      <c r="F1344" s="259">
        <f t="shared" si="23"/>
        <v>4250000</v>
      </c>
      <c r="G1344" s="222"/>
    </row>
    <row r="1345" spans="1:18" x14ac:dyDescent="0.2">
      <c r="A1345" s="257"/>
      <c r="B1345" s="217" t="s">
        <v>796</v>
      </c>
      <c r="C1345" s="214">
        <v>10</v>
      </c>
      <c r="D1345" s="244" t="s">
        <v>795</v>
      </c>
      <c r="E1345" s="215">
        <v>250000</v>
      </c>
      <c r="F1345" s="259">
        <f t="shared" si="23"/>
        <v>2500000</v>
      </c>
      <c r="G1345" s="222"/>
    </row>
    <row r="1346" spans="1:18" x14ac:dyDescent="0.2">
      <c r="A1346" s="257"/>
      <c r="B1346" s="217" t="s">
        <v>321</v>
      </c>
      <c r="C1346" s="214">
        <v>1</v>
      </c>
      <c r="D1346" s="244" t="s">
        <v>798</v>
      </c>
      <c r="E1346" s="215">
        <v>150000</v>
      </c>
      <c r="F1346" s="259">
        <f t="shared" si="23"/>
        <v>150000</v>
      </c>
      <c r="G1346" s="222"/>
    </row>
    <row r="1347" spans="1:18" x14ac:dyDescent="0.2">
      <c r="A1347" s="257"/>
      <c r="B1347" s="217" t="s">
        <v>794</v>
      </c>
      <c r="C1347" s="214">
        <v>10</v>
      </c>
      <c r="D1347" s="244" t="s">
        <v>1954</v>
      </c>
      <c r="E1347" s="215">
        <v>15000</v>
      </c>
      <c r="F1347" s="259">
        <f t="shared" si="23"/>
        <v>150000</v>
      </c>
      <c r="G1347" s="222"/>
    </row>
    <row r="1348" spans="1:18" x14ac:dyDescent="0.2">
      <c r="A1348" s="257"/>
      <c r="B1348" s="217" t="s">
        <v>2865</v>
      </c>
      <c r="C1348" s="214">
        <v>30</v>
      </c>
      <c r="D1348" s="244" t="s">
        <v>418</v>
      </c>
      <c r="E1348" s="215">
        <v>27000</v>
      </c>
      <c r="F1348" s="259">
        <f t="shared" si="23"/>
        <v>810000</v>
      </c>
      <c r="G1348" s="222"/>
    </row>
    <row r="1349" spans="1:18" x14ac:dyDescent="0.2">
      <c r="A1349" s="257"/>
      <c r="B1349" s="217" t="s">
        <v>1955</v>
      </c>
      <c r="C1349" s="214">
        <v>2</v>
      </c>
      <c r="D1349" s="244" t="s">
        <v>418</v>
      </c>
      <c r="E1349" s="426">
        <v>50000</v>
      </c>
      <c r="F1349" s="259">
        <f t="shared" si="23"/>
        <v>100000</v>
      </c>
      <c r="G1349" s="222"/>
    </row>
    <row r="1350" spans="1:18" x14ac:dyDescent="0.2">
      <c r="A1350" s="222" t="s">
        <v>793</v>
      </c>
      <c r="B1350" s="436" t="s">
        <v>304</v>
      </c>
      <c r="C1350" s="214"/>
      <c r="D1350" s="407"/>
      <c r="E1350" s="426"/>
      <c r="F1350" s="259"/>
      <c r="G1350" s="222"/>
    </row>
    <row r="1351" spans="1:18" ht="36" x14ac:dyDescent="0.2">
      <c r="A1351" s="222" t="s">
        <v>792</v>
      </c>
      <c r="B1351" s="436" t="s">
        <v>791</v>
      </c>
      <c r="C1351" s="214"/>
      <c r="D1351" s="407"/>
      <c r="E1351" s="426"/>
      <c r="F1351" s="259"/>
      <c r="G1351" s="222"/>
    </row>
    <row r="1352" spans="1:18" x14ac:dyDescent="0.2">
      <c r="A1352" s="222"/>
      <c r="B1352" s="213" t="s">
        <v>429</v>
      </c>
      <c r="C1352" s="214">
        <v>1</v>
      </c>
      <c r="D1352" s="407"/>
      <c r="E1352" s="426">
        <v>300000</v>
      </c>
      <c r="F1352" s="259">
        <f>E1352*C1352</f>
        <v>300000</v>
      </c>
      <c r="G1352" s="222"/>
    </row>
    <row r="1353" spans="1:18" x14ac:dyDescent="0.2">
      <c r="A1353" s="222"/>
      <c r="B1353" s="213" t="s">
        <v>535</v>
      </c>
      <c r="C1353" s="214">
        <v>1</v>
      </c>
      <c r="D1353" s="407"/>
      <c r="E1353" s="426">
        <v>250000</v>
      </c>
      <c r="F1353" s="259">
        <f>E1353*C1353</f>
        <v>250000</v>
      </c>
      <c r="G1353" s="222"/>
    </row>
    <row r="1354" spans="1:18" x14ac:dyDescent="0.2">
      <c r="A1354" s="222"/>
      <c r="B1354" s="217" t="s">
        <v>518</v>
      </c>
      <c r="C1354" s="214">
        <v>1</v>
      </c>
      <c r="D1354" s="407"/>
      <c r="E1354" s="426">
        <v>200000</v>
      </c>
      <c r="F1354" s="259">
        <f>E1354*C1354</f>
        <v>200000</v>
      </c>
      <c r="G1354" s="222"/>
    </row>
    <row r="1355" spans="1:18" x14ac:dyDescent="0.2">
      <c r="A1355" s="222" t="s">
        <v>790</v>
      </c>
      <c r="B1355" s="551" t="s">
        <v>354</v>
      </c>
      <c r="C1355" s="583"/>
      <c r="D1355" s="503"/>
      <c r="E1355" s="242"/>
      <c r="F1355" s="242"/>
      <c r="G1355" s="222"/>
    </row>
    <row r="1356" spans="1:18" x14ac:dyDescent="0.2">
      <c r="A1356" s="222"/>
      <c r="B1356" s="258" t="s">
        <v>1956</v>
      </c>
      <c r="C1356" s="214">
        <v>30</v>
      </c>
      <c r="D1356" s="206" t="s">
        <v>407</v>
      </c>
      <c r="E1356" s="215">
        <v>100000</v>
      </c>
      <c r="F1356" s="259">
        <f>E1356*C1356</f>
        <v>3000000</v>
      </c>
      <c r="G1356" s="222"/>
    </row>
    <row r="1357" spans="1:18" x14ac:dyDescent="0.2">
      <c r="A1357" s="222" t="s">
        <v>789</v>
      </c>
      <c r="B1357" s="551" t="s">
        <v>788</v>
      </c>
      <c r="C1357" s="214"/>
      <c r="D1357" s="407"/>
      <c r="E1357" s="426"/>
      <c r="F1357" s="259"/>
      <c r="G1357" s="222"/>
    </row>
    <row r="1358" spans="1:18" ht="24" x14ac:dyDescent="0.2">
      <c r="A1358" s="222" t="s">
        <v>787</v>
      </c>
      <c r="B1358" s="423" t="s">
        <v>2866</v>
      </c>
      <c r="C1358" s="214">
        <v>1</v>
      </c>
      <c r="D1358" s="206" t="s">
        <v>219</v>
      </c>
      <c r="E1358" s="215">
        <v>2500000</v>
      </c>
      <c r="F1358" s="408">
        <f>E1358*C1358</f>
        <v>2500000</v>
      </c>
      <c r="G1358" s="222"/>
    </row>
    <row r="1359" spans="1:18" x14ac:dyDescent="0.2">
      <c r="A1359" s="222"/>
      <c r="B1359" s="217"/>
      <c r="C1359" s="214"/>
      <c r="D1359" s="244"/>
      <c r="E1359" s="215"/>
      <c r="F1359" s="368"/>
      <c r="G1359" s="222"/>
    </row>
    <row r="1360" spans="1:18" x14ac:dyDescent="0.2">
      <c r="A1360" s="433"/>
      <c r="B1360" s="1917" t="s">
        <v>26</v>
      </c>
      <c r="C1360" s="1918"/>
      <c r="D1360" s="1918"/>
      <c r="E1360" s="1918"/>
      <c r="F1360" s="584">
        <f>SUM(F1341:F1358)</f>
        <v>17510000</v>
      </c>
      <c r="G1360" s="222" t="s">
        <v>2568</v>
      </c>
      <c r="K1360" s="457"/>
      <c r="R1360" s="457">
        <f>F1360</f>
        <v>17510000</v>
      </c>
    </row>
    <row r="1362" spans="1:7" x14ac:dyDescent="0.2">
      <c r="A1362" s="1762" t="s">
        <v>549</v>
      </c>
      <c r="B1362" s="1762"/>
      <c r="C1362" s="188" t="s">
        <v>27</v>
      </c>
      <c r="D1362" s="1763" t="s">
        <v>1429</v>
      </c>
      <c r="E1362" s="1763"/>
      <c r="F1362" s="1763"/>
      <c r="G1362" s="188"/>
    </row>
    <row r="1363" spans="1:7" x14ac:dyDescent="0.2">
      <c r="A1363" s="1762" t="s">
        <v>28</v>
      </c>
      <c r="B1363" s="1762"/>
      <c r="C1363" s="188"/>
      <c r="D1363" s="1764" t="s">
        <v>2834</v>
      </c>
      <c r="E1363" s="1764"/>
      <c r="F1363" s="1764"/>
      <c r="G1363" s="188"/>
    </row>
    <row r="1364" spans="1:7" x14ac:dyDescent="0.2">
      <c r="A1364" s="186"/>
      <c r="B1364" s="187"/>
      <c r="C1364" s="188"/>
      <c r="D1364" s="189"/>
      <c r="E1364" s="218"/>
      <c r="F1364" s="218"/>
      <c r="G1364" s="188"/>
    </row>
    <row r="1365" spans="1:7" x14ac:dyDescent="0.2">
      <c r="A1365" s="186"/>
      <c r="B1365" s="187"/>
      <c r="C1365" s="188"/>
      <c r="D1365" s="189"/>
      <c r="E1365" s="218"/>
      <c r="F1365" s="218"/>
      <c r="G1365" s="188"/>
    </row>
    <row r="1366" spans="1:7" x14ac:dyDescent="0.2">
      <c r="A1366" s="1762"/>
      <c r="B1366" s="1762"/>
      <c r="C1366" s="188"/>
      <c r="D1366" s="189"/>
      <c r="E1366" s="1762"/>
      <c r="F1366" s="1762"/>
      <c r="G1366" s="188"/>
    </row>
    <row r="1367" spans="1:7" x14ac:dyDescent="0.2">
      <c r="A1367" s="1762" t="s">
        <v>29</v>
      </c>
      <c r="B1367" s="1762"/>
      <c r="C1367" s="188"/>
      <c r="D1367" s="1762" t="s">
        <v>2993</v>
      </c>
      <c r="E1367" s="1762"/>
      <c r="F1367" s="1762"/>
      <c r="G1367" s="188"/>
    </row>
    <row r="1368" spans="1:7" x14ac:dyDescent="0.2">
      <c r="A1368" s="1765" t="s">
        <v>0</v>
      </c>
      <c r="B1368" s="1765"/>
      <c r="C1368" s="1765"/>
      <c r="D1368" s="1765"/>
      <c r="E1368" s="1765"/>
      <c r="F1368" s="1765"/>
      <c r="G1368" s="1765"/>
    </row>
    <row r="1369" spans="1:7" x14ac:dyDescent="0.2">
      <c r="A1369" s="1765" t="s">
        <v>1</v>
      </c>
      <c r="B1369" s="1765"/>
      <c r="C1369" s="1765"/>
      <c r="D1369" s="1765"/>
      <c r="E1369" s="1765"/>
      <c r="F1369" s="1765"/>
      <c r="G1369" s="1765"/>
    </row>
    <row r="1370" spans="1:7" x14ac:dyDescent="0.2">
      <c r="A1370" s="1765" t="s">
        <v>1769</v>
      </c>
      <c r="B1370" s="1765"/>
      <c r="C1370" s="1765"/>
      <c r="D1370" s="1765"/>
      <c r="E1370" s="1765"/>
      <c r="F1370" s="1765"/>
      <c r="G1370" s="1765"/>
    </row>
    <row r="1371" spans="1:7" x14ac:dyDescent="0.2">
      <c r="A1371" s="184"/>
      <c r="B1371" s="184"/>
      <c r="C1371" s="184"/>
      <c r="D1371" s="184"/>
      <c r="E1371" s="184"/>
      <c r="F1371" s="184"/>
      <c r="G1371" s="184"/>
    </row>
    <row r="1372" spans="1:7" x14ac:dyDescent="0.2">
      <c r="A1372" s="377" t="s">
        <v>261</v>
      </c>
      <c r="B1372" s="377" t="s">
        <v>829</v>
      </c>
      <c r="C1372" s="377"/>
      <c r="D1372" s="377"/>
      <c r="E1372" s="585" t="s">
        <v>6</v>
      </c>
      <c r="F1372" s="190"/>
    </row>
    <row r="1373" spans="1:7" x14ac:dyDescent="0.2">
      <c r="A1373" s="377" t="s">
        <v>262</v>
      </c>
      <c r="B1373" s="377" t="s">
        <v>688</v>
      </c>
      <c r="C1373" s="377"/>
      <c r="D1373" s="377"/>
      <c r="E1373" s="586" t="s">
        <v>515</v>
      </c>
      <c r="F1373" s="558"/>
    </row>
    <row r="1374" spans="1:7" ht="38.25" customHeight="1" x14ac:dyDescent="0.2">
      <c r="A1374" s="587" t="s">
        <v>263</v>
      </c>
      <c r="B1374" s="587" t="s">
        <v>828</v>
      </c>
      <c r="C1374" s="587"/>
      <c r="D1374" s="378"/>
      <c r="E1374" s="378"/>
      <c r="F1374" s="430"/>
    </row>
    <row r="1375" spans="1:7" x14ac:dyDescent="0.2">
      <c r="A1375" s="377" t="s">
        <v>37</v>
      </c>
      <c r="B1375" s="377" t="s">
        <v>61</v>
      </c>
      <c r="C1375" s="377"/>
      <c r="D1375" s="377"/>
      <c r="E1375" s="377"/>
      <c r="F1375" s="185"/>
    </row>
    <row r="1376" spans="1:7" x14ac:dyDescent="0.2">
      <c r="A1376" s="377" t="s">
        <v>62</v>
      </c>
      <c r="B1376" s="377" t="s">
        <v>63</v>
      </c>
      <c r="C1376" s="377"/>
      <c r="D1376" s="381"/>
      <c r="E1376" s="588"/>
      <c r="F1376" s="185"/>
    </row>
    <row r="1377" spans="1:7" ht="6.75" customHeight="1" x14ac:dyDescent="0.2">
      <c r="A1377" s="187"/>
      <c r="B1377" s="187"/>
      <c r="C1377" s="187"/>
      <c r="D1377" s="187"/>
      <c r="E1377" s="187"/>
      <c r="F1377" s="187"/>
    </row>
    <row r="1378" spans="1:7" ht="24" x14ac:dyDescent="0.2">
      <c r="A1378" s="198" t="s">
        <v>265</v>
      </c>
      <c r="B1378" s="198" t="s">
        <v>11</v>
      </c>
      <c r="C1378" s="1766" t="s">
        <v>12</v>
      </c>
      <c r="D1378" s="1766"/>
      <c r="E1378" s="267" t="s">
        <v>13</v>
      </c>
      <c r="F1378" s="268" t="s">
        <v>14</v>
      </c>
      <c r="G1378" s="472" t="s">
        <v>266</v>
      </c>
    </row>
    <row r="1379" spans="1:7" x14ac:dyDescent="0.2">
      <c r="A1379" s="198">
        <v>1</v>
      </c>
      <c r="B1379" s="198">
        <v>2</v>
      </c>
      <c r="C1379" s="1767">
        <v>3</v>
      </c>
      <c r="D1379" s="1768"/>
      <c r="E1379" s="269">
        <v>4</v>
      </c>
      <c r="F1379" s="268">
        <v>5</v>
      </c>
      <c r="G1379" s="471">
        <v>6</v>
      </c>
    </row>
    <row r="1380" spans="1:7" x14ac:dyDescent="0.2">
      <c r="A1380" s="391"/>
      <c r="B1380" s="524" t="s">
        <v>827</v>
      </c>
      <c r="C1380" s="589"/>
      <c r="D1380" s="420"/>
      <c r="E1380" s="590"/>
      <c r="F1380" s="200"/>
      <c r="G1380" s="242"/>
    </row>
    <row r="1381" spans="1:7" x14ac:dyDescent="0.2">
      <c r="A1381" s="391" t="s">
        <v>825</v>
      </c>
      <c r="B1381" s="524" t="s">
        <v>746</v>
      </c>
      <c r="C1381" s="589"/>
      <c r="D1381" s="420"/>
      <c r="E1381" s="590"/>
      <c r="F1381" s="200"/>
      <c r="G1381" s="242"/>
    </row>
    <row r="1382" spans="1:7" x14ac:dyDescent="0.2">
      <c r="A1382" s="391" t="s">
        <v>824</v>
      </c>
      <c r="B1382" s="524" t="s">
        <v>745</v>
      </c>
      <c r="C1382" s="589"/>
      <c r="D1382" s="420"/>
      <c r="E1382" s="590"/>
      <c r="F1382" s="200"/>
      <c r="G1382" s="242"/>
    </row>
    <row r="1383" spans="1:7" ht="24" x14ac:dyDescent="0.2">
      <c r="A1383" s="591" t="s">
        <v>823</v>
      </c>
      <c r="B1383" s="436" t="s">
        <v>317</v>
      </c>
      <c r="C1383" s="205"/>
      <c r="D1383" s="206"/>
      <c r="E1383" s="215"/>
      <c r="F1383" s="408"/>
      <c r="G1383" s="242"/>
    </row>
    <row r="1384" spans="1:7" x14ac:dyDescent="0.2">
      <c r="A1384" s="591"/>
      <c r="B1384" s="229" t="s">
        <v>1879</v>
      </c>
      <c r="C1384" s="205">
        <v>30</v>
      </c>
      <c r="D1384" s="206" t="s">
        <v>279</v>
      </c>
      <c r="E1384" s="215">
        <v>15000</v>
      </c>
      <c r="F1384" s="408">
        <f>E1384*C1384</f>
        <v>450000</v>
      </c>
      <c r="G1384" s="242"/>
    </row>
    <row r="1385" spans="1:7" ht="24" x14ac:dyDescent="0.2">
      <c r="A1385" s="591"/>
      <c r="B1385" s="213" t="s">
        <v>1880</v>
      </c>
      <c r="C1385" s="205">
        <v>1300</v>
      </c>
      <c r="D1385" s="206" t="s">
        <v>279</v>
      </c>
      <c r="E1385" s="592">
        <v>15000</v>
      </c>
      <c r="F1385" s="593">
        <f>E1385*C1385</f>
        <v>19500000</v>
      </c>
      <c r="G1385" s="242"/>
    </row>
    <row r="1386" spans="1:7" ht="24" x14ac:dyDescent="0.2">
      <c r="A1386" s="591" t="s">
        <v>822</v>
      </c>
      <c r="B1386" s="436" t="s">
        <v>337</v>
      </c>
      <c r="C1386" s="205"/>
      <c r="D1386" s="206"/>
      <c r="E1386" s="215"/>
      <c r="F1386" s="408"/>
      <c r="G1386" s="242"/>
    </row>
    <row r="1387" spans="1:7" x14ac:dyDescent="0.2">
      <c r="A1387" s="591"/>
      <c r="B1387" s="217" t="s">
        <v>338</v>
      </c>
      <c r="C1387" s="205">
        <v>13</v>
      </c>
      <c r="D1387" s="206" t="s">
        <v>95</v>
      </c>
      <c r="E1387" s="215">
        <v>90000</v>
      </c>
      <c r="F1387" s="408">
        <f>E1387*C1387</f>
        <v>1170000</v>
      </c>
      <c r="G1387" s="242"/>
    </row>
    <row r="1388" spans="1:7" x14ac:dyDescent="0.2">
      <c r="A1388" s="591"/>
      <c r="B1388" s="217" t="s">
        <v>1881</v>
      </c>
      <c r="C1388" s="205">
        <v>1</v>
      </c>
      <c r="D1388" s="206" t="s">
        <v>131</v>
      </c>
      <c r="E1388" s="215">
        <v>1500000</v>
      </c>
      <c r="F1388" s="408">
        <f>E1388*C1388</f>
        <v>1500000</v>
      </c>
      <c r="G1388" s="242"/>
    </row>
    <row r="1389" spans="1:7" x14ac:dyDescent="0.2">
      <c r="A1389" s="391"/>
      <c r="B1389" s="390" t="s">
        <v>826</v>
      </c>
      <c r="C1389" s="205"/>
      <c r="D1389" s="206"/>
      <c r="E1389" s="215"/>
      <c r="F1389" s="408"/>
      <c r="G1389" s="242"/>
    </row>
    <row r="1390" spans="1:7" x14ac:dyDescent="0.2">
      <c r="A1390" s="391" t="s">
        <v>825</v>
      </c>
      <c r="B1390" s="524" t="s">
        <v>746</v>
      </c>
      <c r="C1390" s="205"/>
      <c r="D1390" s="206"/>
      <c r="E1390" s="215"/>
      <c r="F1390" s="408"/>
      <c r="G1390" s="242"/>
    </row>
    <row r="1391" spans="1:7" x14ac:dyDescent="0.2">
      <c r="A1391" s="391" t="s">
        <v>824</v>
      </c>
      <c r="B1391" s="524" t="s">
        <v>745</v>
      </c>
      <c r="C1391" s="205"/>
      <c r="D1391" s="206"/>
      <c r="E1391" s="215"/>
      <c r="F1391" s="408"/>
      <c r="G1391" s="242"/>
    </row>
    <row r="1392" spans="1:7" ht="24" x14ac:dyDescent="0.2">
      <c r="A1392" s="591" t="s">
        <v>823</v>
      </c>
      <c r="B1392" s="437" t="s">
        <v>317</v>
      </c>
      <c r="C1392" s="205"/>
      <c r="D1392" s="206"/>
      <c r="E1392" s="215"/>
      <c r="F1392" s="408"/>
      <c r="G1392" s="242"/>
    </row>
    <row r="1393" spans="1:7" ht="36" x14ac:dyDescent="0.2">
      <c r="A1393" s="591"/>
      <c r="B1393" s="535" t="s">
        <v>1882</v>
      </c>
      <c r="C1393" s="205">
        <v>63</v>
      </c>
      <c r="D1393" s="206" t="s">
        <v>279</v>
      </c>
      <c r="E1393" s="592">
        <v>15000</v>
      </c>
      <c r="F1393" s="593">
        <f>E1393*C1393</f>
        <v>945000</v>
      </c>
      <c r="G1393" s="242"/>
    </row>
    <row r="1394" spans="1:7" ht="24" x14ac:dyDescent="0.2">
      <c r="A1394" s="591" t="s">
        <v>821</v>
      </c>
      <c r="B1394" s="436" t="s">
        <v>820</v>
      </c>
      <c r="C1394" s="205"/>
      <c r="D1394" s="206"/>
      <c r="E1394" s="215"/>
      <c r="F1394" s="368"/>
      <c r="G1394" s="242"/>
    </row>
    <row r="1395" spans="1:7" x14ac:dyDescent="0.2">
      <c r="A1395" s="591"/>
      <c r="B1395" s="217" t="s">
        <v>1991</v>
      </c>
      <c r="C1395" s="205">
        <v>4</v>
      </c>
      <c r="D1395" s="206" t="s">
        <v>95</v>
      </c>
      <c r="E1395" s="215">
        <v>188000</v>
      </c>
      <c r="F1395" s="368">
        <f>E1395*C1395</f>
        <v>752000</v>
      </c>
      <c r="G1395" s="242"/>
    </row>
    <row r="1396" spans="1:7" x14ac:dyDescent="0.2">
      <c r="A1396" s="591"/>
      <c r="B1396" s="217" t="s">
        <v>1992</v>
      </c>
      <c r="C1396" s="205">
        <v>4</v>
      </c>
      <c r="D1396" s="206" t="s">
        <v>95</v>
      </c>
      <c r="E1396" s="215">
        <v>150000</v>
      </c>
      <c r="F1396" s="368">
        <f>E1396*C1396</f>
        <v>600000</v>
      </c>
      <c r="G1396" s="242"/>
    </row>
    <row r="1397" spans="1:7" x14ac:dyDescent="0.2">
      <c r="A1397" s="591"/>
      <c r="B1397" s="217" t="s">
        <v>819</v>
      </c>
      <c r="C1397" s="205">
        <v>4</v>
      </c>
      <c r="D1397" s="206" t="s">
        <v>95</v>
      </c>
      <c r="E1397" s="215">
        <v>80000</v>
      </c>
      <c r="F1397" s="368">
        <f>E1397*C1397</f>
        <v>320000</v>
      </c>
      <c r="G1397" s="242"/>
    </row>
    <row r="1398" spans="1:7" x14ac:dyDescent="0.2">
      <c r="A1398" s="591"/>
      <c r="B1398" s="217" t="s">
        <v>818</v>
      </c>
      <c r="C1398" s="205">
        <v>4</v>
      </c>
      <c r="D1398" s="206" t="s">
        <v>95</v>
      </c>
      <c r="E1398" s="215">
        <v>300000</v>
      </c>
      <c r="F1398" s="368">
        <f>E1398*C1398</f>
        <v>1200000</v>
      </c>
      <c r="G1398" s="242"/>
    </row>
    <row r="1399" spans="1:7" x14ac:dyDescent="0.2">
      <c r="A1399" s="591"/>
      <c r="B1399" s="217" t="s">
        <v>817</v>
      </c>
      <c r="C1399" s="205">
        <v>4</v>
      </c>
      <c r="D1399" s="206" t="s">
        <v>95</v>
      </c>
      <c r="E1399" s="215">
        <v>180000</v>
      </c>
      <c r="F1399" s="368">
        <f>E1399*C1399</f>
        <v>720000</v>
      </c>
      <c r="G1399" s="242"/>
    </row>
    <row r="1400" spans="1:7" x14ac:dyDescent="0.2">
      <c r="A1400" s="591" t="s">
        <v>816</v>
      </c>
      <c r="B1400" s="551" t="s">
        <v>815</v>
      </c>
      <c r="C1400" s="205"/>
      <c r="D1400" s="206"/>
      <c r="E1400" s="426"/>
      <c r="F1400" s="408"/>
      <c r="G1400" s="242"/>
    </row>
    <row r="1401" spans="1:7" ht="24" x14ac:dyDescent="0.2">
      <c r="A1401" s="229" t="s">
        <v>814</v>
      </c>
      <c r="B1401" s="436" t="s">
        <v>774</v>
      </c>
      <c r="C1401" s="205"/>
      <c r="D1401" s="206"/>
      <c r="E1401" s="215"/>
      <c r="F1401" s="368"/>
      <c r="G1401" s="242"/>
    </row>
    <row r="1402" spans="1:7" x14ac:dyDescent="0.2">
      <c r="A1402" s="591"/>
      <c r="B1402" s="217" t="s">
        <v>188</v>
      </c>
      <c r="C1402" s="205">
        <v>1</v>
      </c>
      <c r="D1402" s="206" t="s">
        <v>780</v>
      </c>
      <c r="E1402" s="215">
        <v>300000</v>
      </c>
      <c r="F1402" s="368">
        <f>E1402*C1402</f>
        <v>300000</v>
      </c>
      <c r="G1402" s="242"/>
    </row>
    <row r="1403" spans="1:7" x14ac:dyDescent="0.2">
      <c r="A1403" s="591"/>
      <c r="B1403" s="217" t="s">
        <v>189</v>
      </c>
      <c r="C1403" s="205">
        <v>1</v>
      </c>
      <c r="D1403" s="206" t="s">
        <v>780</v>
      </c>
      <c r="E1403" s="215">
        <v>250000</v>
      </c>
      <c r="F1403" s="368">
        <f>E1403*C1403</f>
        <v>250000</v>
      </c>
      <c r="G1403" s="242"/>
    </row>
    <row r="1404" spans="1:7" x14ac:dyDescent="0.2">
      <c r="A1404" s="591"/>
      <c r="B1404" s="217" t="s">
        <v>352</v>
      </c>
      <c r="C1404" s="205">
        <v>3</v>
      </c>
      <c r="D1404" s="206" t="s">
        <v>780</v>
      </c>
      <c r="E1404" s="215">
        <v>200000</v>
      </c>
      <c r="F1404" s="368">
        <f>E1404*C1404</f>
        <v>600000</v>
      </c>
      <c r="G1404" s="242"/>
    </row>
    <row r="1405" spans="1:7" ht="48" x14ac:dyDescent="0.2">
      <c r="A1405" s="591" t="s">
        <v>813</v>
      </c>
      <c r="B1405" s="436" t="s">
        <v>707</v>
      </c>
      <c r="C1405" s="205"/>
      <c r="D1405" s="206"/>
      <c r="E1405" s="426"/>
      <c r="F1405" s="368"/>
      <c r="G1405" s="242"/>
    </row>
    <row r="1406" spans="1:7" x14ac:dyDescent="0.2">
      <c r="A1406" s="591"/>
      <c r="B1406" s="229" t="s">
        <v>1883</v>
      </c>
      <c r="C1406" s="205">
        <f>4*3</f>
        <v>12</v>
      </c>
      <c r="D1406" s="206" t="s">
        <v>2856</v>
      </c>
      <c r="E1406" s="426">
        <v>100000</v>
      </c>
      <c r="F1406" s="368">
        <f>E1406*C1406</f>
        <v>1200000</v>
      </c>
      <c r="G1406" s="242"/>
    </row>
    <row r="1407" spans="1:7" ht="24" x14ac:dyDescent="0.2">
      <c r="A1407" s="591" t="s">
        <v>812</v>
      </c>
      <c r="B1407" s="594" t="s">
        <v>811</v>
      </c>
      <c r="C1407" s="205"/>
      <c r="D1407" s="206"/>
      <c r="E1407" s="215"/>
      <c r="F1407" s="408"/>
      <c r="G1407" s="242"/>
    </row>
    <row r="1408" spans="1:7" x14ac:dyDescent="0.2">
      <c r="A1408" s="591" t="s">
        <v>810</v>
      </c>
      <c r="B1408" s="550" t="s">
        <v>809</v>
      </c>
      <c r="C1408" s="205"/>
      <c r="D1408" s="206"/>
      <c r="E1408" s="215"/>
      <c r="F1408" s="368"/>
      <c r="G1408" s="242"/>
    </row>
    <row r="1409" spans="1:20" x14ac:dyDescent="0.2">
      <c r="A1409" s="222"/>
      <c r="B1409" s="217" t="s">
        <v>808</v>
      </c>
      <c r="C1409" s="205">
        <v>1</v>
      </c>
      <c r="D1409" s="206" t="s">
        <v>131</v>
      </c>
      <c r="E1409" s="215">
        <v>5000000</v>
      </c>
      <c r="F1409" s="368">
        <f>E1409*C1409</f>
        <v>5000000</v>
      </c>
      <c r="G1409" s="242"/>
    </row>
    <row r="1410" spans="1:20" x14ac:dyDescent="0.2">
      <c r="A1410" s="222"/>
      <c r="B1410" s="217" t="s">
        <v>807</v>
      </c>
      <c r="C1410" s="205">
        <v>1</v>
      </c>
      <c r="D1410" s="206" t="s">
        <v>131</v>
      </c>
      <c r="E1410" s="215">
        <v>4000000</v>
      </c>
      <c r="F1410" s="368">
        <f>E1410*C1410</f>
        <v>4000000</v>
      </c>
      <c r="G1410" s="242"/>
    </row>
    <row r="1411" spans="1:20" x14ac:dyDescent="0.2">
      <c r="A1411" s="222"/>
      <c r="B1411" s="217" t="s">
        <v>806</v>
      </c>
      <c r="C1411" s="205">
        <v>1</v>
      </c>
      <c r="D1411" s="206" t="s">
        <v>131</v>
      </c>
      <c r="E1411" s="215">
        <v>3000000</v>
      </c>
      <c r="F1411" s="368">
        <f>E1411*C1411</f>
        <v>3000000</v>
      </c>
      <c r="G1411" s="242"/>
    </row>
    <row r="1412" spans="1:20" x14ac:dyDescent="0.2">
      <c r="A1412" s="432"/>
      <c r="B1412" s="217"/>
      <c r="C1412" s="1981"/>
      <c r="D1412" s="1981"/>
      <c r="E1412" s="215"/>
      <c r="F1412" s="368"/>
      <c r="G1412" s="242"/>
    </row>
    <row r="1413" spans="1:20" ht="24" customHeight="1" x14ac:dyDescent="0.2">
      <c r="A1413" s="433"/>
      <c r="B1413" s="1982" t="s">
        <v>26</v>
      </c>
      <c r="C1413" s="1983"/>
      <c r="D1413" s="1983"/>
      <c r="E1413" s="1983"/>
      <c r="F1413" s="595">
        <f>SUM(F1384:F1411)</f>
        <v>41507000</v>
      </c>
      <c r="G1413" s="242" t="s">
        <v>2570</v>
      </c>
      <c r="L1413" s="457"/>
      <c r="T1413" s="457">
        <f>F1413</f>
        <v>41507000</v>
      </c>
    </row>
    <row r="1415" spans="1:20" x14ac:dyDescent="0.2">
      <c r="A1415" s="1762" t="s">
        <v>549</v>
      </c>
      <c r="B1415" s="1762"/>
      <c r="C1415" s="188" t="s">
        <v>27</v>
      </c>
      <c r="D1415" s="1763" t="s">
        <v>1429</v>
      </c>
      <c r="E1415" s="1763"/>
      <c r="F1415" s="1763"/>
      <c r="G1415" s="188"/>
    </row>
    <row r="1416" spans="1:20" x14ac:dyDescent="0.2">
      <c r="A1416" s="1762" t="s">
        <v>28</v>
      </c>
      <c r="B1416" s="1762"/>
      <c r="C1416" s="188"/>
      <c r="D1416" s="1764" t="s">
        <v>2834</v>
      </c>
      <c r="E1416" s="1764"/>
      <c r="F1416" s="1764"/>
      <c r="G1416" s="188"/>
    </row>
    <row r="1417" spans="1:20" x14ac:dyDescent="0.2">
      <c r="A1417" s="186"/>
      <c r="B1417" s="187"/>
      <c r="C1417" s="188"/>
      <c r="D1417" s="189"/>
      <c r="E1417" s="218"/>
      <c r="F1417" s="218"/>
      <c r="G1417" s="188"/>
    </row>
    <row r="1418" spans="1:20" x14ac:dyDescent="0.2">
      <c r="A1418" s="186"/>
      <c r="B1418" s="187"/>
      <c r="C1418" s="188"/>
      <c r="D1418" s="189"/>
      <c r="E1418" s="218"/>
      <c r="F1418" s="218"/>
      <c r="G1418" s="188"/>
    </row>
    <row r="1419" spans="1:20" x14ac:dyDescent="0.2">
      <c r="A1419" s="1762"/>
      <c r="B1419" s="1762"/>
      <c r="C1419" s="188"/>
      <c r="D1419" s="189"/>
      <c r="E1419" s="1762"/>
      <c r="F1419" s="1762"/>
      <c r="G1419" s="188"/>
    </row>
    <row r="1420" spans="1:20" x14ac:dyDescent="0.2">
      <c r="A1420" s="1762" t="s">
        <v>29</v>
      </c>
      <c r="B1420" s="1762"/>
      <c r="C1420" s="188"/>
      <c r="D1420" s="1762" t="s">
        <v>2993</v>
      </c>
      <c r="E1420" s="1762"/>
      <c r="F1420" s="1762"/>
      <c r="G1420" s="188"/>
    </row>
    <row r="1421" spans="1:20" x14ac:dyDescent="0.2">
      <c r="A1421" s="1765" t="s">
        <v>1</v>
      </c>
      <c r="B1421" s="1765"/>
      <c r="C1421" s="1765"/>
      <c r="D1421" s="1765"/>
      <c r="E1421" s="1765"/>
      <c r="F1421" s="1765"/>
      <c r="G1421" s="1765"/>
    </row>
    <row r="1422" spans="1:20" x14ac:dyDescent="0.2">
      <c r="A1422" s="1765" t="s">
        <v>1769</v>
      </c>
      <c r="B1422" s="1765"/>
      <c r="C1422" s="1765"/>
      <c r="D1422" s="1765"/>
      <c r="E1422" s="1765"/>
      <c r="F1422" s="1765"/>
      <c r="G1422" s="1765"/>
    </row>
    <row r="1423" spans="1:20" x14ac:dyDescent="0.2">
      <c r="A1423" s="184"/>
      <c r="B1423" s="184"/>
      <c r="C1423" s="185"/>
      <c r="D1423" s="185"/>
      <c r="E1423" s="185"/>
      <c r="F1423" s="185"/>
    </row>
    <row r="1424" spans="1:20" x14ac:dyDescent="0.2">
      <c r="A1424" s="185" t="s">
        <v>690</v>
      </c>
      <c r="B1424" s="185" t="s">
        <v>689</v>
      </c>
      <c r="C1424" s="185"/>
      <c r="D1424" s="185"/>
      <c r="E1424" s="227" t="s">
        <v>6</v>
      </c>
      <c r="F1424" s="490" t="s">
        <v>1791</v>
      </c>
    </row>
    <row r="1425" spans="1:7" x14ac:dyDescent="0.2">
      <c r="A1425" s="385" t="s">
        <v>247</v>
      </c>
      <c r="B1425" s="385" t="s">
        <v>688</v>
      </c>
      <c r="C1425" s="185"/>
      <c r="D1425" s="185"/>
      <c r="E1425" s="193" t="s">
        <v>515</v>
      </c>
      <c r="F1425" s="193" t="s">
        <v>1409</v>
      </c>
    </row>
    <row r="1426" spans="1:7" ht="20.25" customHeight="1" x14ac:dyDescent="0.2">
      <c r="A1426" s="385" t="s">
        <v>687</v>
      </c>
      <c r="B1426" s="218" t="s">
        <v>1444</v>
      </c>
      <c r="C1426" s="185"/>
      <c r="D1426" s="185"/>
      <c r="E1426" s="185"/>
      <c r="F1426" s="185"/>
    </row>
    <row r="1427" spans="1:7" x14ac:dyDescent="0.2">
      <c r="A1427" s="185" t="s">
        <v>521</v>
      </c>
      <c r="B1427" s="185" t="s">
        <v>546</v>
      </c>
      <c r="C1427" s="185"/>
      <c r="D1427" s="185"/>
      <c r="E1427" s="185"/>
      <c r="F1427" s="185"/>
    </row>
    <row r="1428" spans="1:7" x14ac:dyDescent="0.2">
      <c r="A1428" s="1893" t="s">
        <v>503</v>
      </c>
      <c r="B1428" s="1893"/>
      <c r="C1428" s="185"/>
      <c r="D1428" s="185"/>
      <c r="E1428" s="185"/>
      <c r="F1428" s="185"/>
    </row>
    <row r="1429" spans="1:7" ht="24" x14ac:dyDescent="0.2">
      <c r="A1429" s="469" t="s">
        <v>547</v>
      </c>
      <c r="B1429" s="469" t="s">
        <v>11</v>
      </c>
      <c r="C1429" s="1954" t="s">
        <v>12</v>
      </c>
      <c r="D1429" s="1955"/>
      <c r="E1429" s="470" t="s">
        <v>13</v>
      </c>
      <c r="F1429" s="479" t="s">
        <v>14</v>
      </c>
      <c r="G1429" s="471" t="s">
        <v>266</v>
      </c>
    </row>
    <row r="1430" spans="1:7" x14ac:dyDescent="0.2">
      <c r="A1430" s="472">
        <v>1</v>
      </c>
      <c r="B1430" s="472">
        <v>2</v>
      </c>
      <c r="C1430" s="1943">
        <v>3</v>
      </c>
      <c r="D1430" s="1944"/>
      <c r="E1430" s="473">
        <v>4</v>
      </c>
      <c r="F1430" s="392">
        <v>5</v>
      </c>
      <c r="G1430" s="471">
        <v>6</v>
      </c>
    </row>
    <row r="1431" spans="1:7" ht="26.25" customHeight="1" x14ac:dyDescent="0.2">
      <c r="A1431" s="203" t="s">
        <v>834</v>
      </c>
      <c r="B1431" s="204" t="s">
        <v>84</v>
      </c>
      <c r="C1431" s="205"/>
      <c r="D1431" s="206"/>
      <c r="E1431" s="207"/>
      <c r="F1431" s="197"/>
      <c r="G1431" s="242"/>
    </row>
    <row r="1432" spans="1:7" ht="28.5" customHeight="1" x14ac:dyDescent="0.2">
      <c r="A1432" s="203" t="s">
        <v>833</v>
      </c>
      <c r="B1432" s="213" t="s">
        <v>86</v>
      </c>
      <c r="C1432" s="214"/>
      <c r="D1432" s="206"/>
      <c r="E1432" s="217"/>
      <c r="F1432" s="217"/>
      <c r="G1432" s="242"/>
    </row>
    <row r="1433" spans="1:7" ht="34.5" customHeight="1" x14ac:dyDescent="0.2">
      <c r="A1433" s="203" t="s">
        <v>832</v>
      </c>
      <c r="B1433" s="234" t="s">
        <v>88</v>
      </c>
      <c r="C1433" s="214"/>
      <c r="D1433" s="206"/>
      <c r="E1433" s="217"/>
      <c r="F1433" s="217"/>
      <c r="G1433" s="242"/>
    </row>
    <row r="1434" spans="1:7" ht="35.25" customHeight="1" x14ac:dyDescent="0.2">
      <c r="A1434" s="212"/>
      <c r="B1434" s="463" t="s">
        <v>2779</v>
      </c>
      <c r="C1434" s="214">
        <v>5</v>
      </c>
      <c r="D1434" s="206" t="s">
        <v>89</v>
      </c>
      <c r="E1434" s="215">
        <v>70000</v>
      </c>
      <c r="F1434" s="215">
        <f t="shared" ref="F1434:F1439" si="24">E1434*C1434</f>
        <v>350000</v>
      </c>
      <c r="G1434" s="242"/>
    </row>
    <row r="1435" spans="1:7" ht="24" x14ac:dyDescent="0.2">
      <c r="A1435" s="212"/>
      <c r="B1435" s="213" t="s">
        <v>1792</v>
      </c>
      <c r="C1435" s="214">
        <v>2</v>
      </c>
      <c r="D1435" s="206" t="s">
        <v>110</v>
      </c>
      <c r="E1435" s="215">
        <v>21000</v>
      </c>
      <c r="F1435" s="215">
        <f t="shared" si="24"/>
        <v>42000</v>
      </c>
      <c r="G1435" s="242"/>
    </row>
    <row r="1436" spans="1:7" ht="18.75" customHeight="1" x14ac:dyDescent="0.2">
      <c r="A1436" s="212"/>
      <c r="B1436" s="213" t="s">
        <v>1793</v>
      </c>
      <c r="C1436" s="214">
        <v>2</v>
      </c>
      <c r="D1436" s="206" t="s">
        <v>95</v>
      </c>
      <c r="E1436" s="215">
        <v>25000</v>
      </c>
      <c r="F1436" s="215">
        <f t="shared" si="24"/>
        <v>50000</v>
      </c>
      <c r="G1436" s="242"/>
    </row>
    <row r="1437" spans="1:7" x14ac:dyDescent="0.2">
      <c r="A1437" s="212"/>
      <c r="B1437" s="242" t="s">
        <v>1771</v>
      </c>
      <c r="C1437" s="214">
        <v>5</v>
      </c>
      <c r="D1437" s="206" t="s">
        <v>95</v>
      </c>
      <c r="E1437" s="230">
        <v>3900</v>
      </c>
      <c r="F1437" s="215">
        <f t="shared" si="24"/>
        <v>19500</v>
      </c>
      <c r="G1437" s="242"/>
    </row>
    <row r="1438" spans="1:7" ht="20.25" customHeight="1" x14ac:dyDescent="0.2">
      <c r="A1438" s="212"/>
      <c r="B1438" s="213" t="s">
        <v>1445</v>
      </c>
      <c r="C1438" s="214">
        <v>5</v>
      </c>
      <c r="D1438" s="206" t="s">
        <v>95</v>
      </c>
      <c r="E1438" s="230">
        <v>9000</v>
      </c>
      <c r="F1438" s="215">
        <f t="shared" si="24"/>
        <v>45000</v>
      </c>
      <c r="G1438" s="242"/>
    </row>
    <row r="1439" spans="1:7" x14ac:dyDescent="0.2">
      <c r="A1439" s="203"/>
      <c r="B1439" s="369" t="s">
        <v>1778</v>
      </c>
      <c r="C1439" s="214">
        <v>20</v>
      </c>
      <c r="D1439" s="206" t="s">
        <v>95</v>
      </c>
      <c r="E1439" s="215">
        <v>6500</v>
      </c>
      <c r="F1439" s="230">
        <f t="shared" si="24"/>
        <v>130000</v>
      </c>
      <c r="G1439" s="242"/>
    </row>
    <row r="1440" spans="1:7" x14ac:dyDescent="0.2">
      <c r="A1440" s="203"/>
      <c r="B1440" s="213"/>
      <c r="C1440" s="214"/>
      <c r="D1440" s="206"/>
      <c r="E1440" s="230"/>
      <c r="F1440" s="230"/>
      <c r="G1440" s="242"/>
    </row>
    <row r="1441" spans="1:19" ht="44.25" customHeight="1" x14ac:dyDescent="0.2">
      <c r="A1441" s="203" t="s">
        <v>831</v>
      </c>
      <c r="B1441" s="213" t="s">
        <v>133</v>
      </c>
      <c r="C1441" s="214"/>
      <c r="D1441" s="206"/>
      <c r="E1441" s="230"/>
      <c r="F1441" s="215"/>
      <c r="G1441" s="242"/>
    </row>
    <row r="1442" spans="1:19" x14ac:dyDescent="0.2">
      <c r="A1442" s="203"/>
      <c r="B1442" s="213"/>
      <c r="C1442" s="214"/>
      <c r="D1442" s="206"/>
      <c r="E1442" s="230"/>
      <c r="F1442" s="215"/>
      <c r="G1442" s="242"/>
    </row>
    <row r="1443" spans="1:19" ht="48.75" customHeight="1" x14ac:dyDescent="0.2">
      <c r="A1443" s="203" t="s">
        <v>830</v>
      </c>
      <c r="B1443" s="234" t="s">
        <v>151</v>
      </c>
      <c r="C1443" s="214"/>
      <c r="D1443" s="206"/>
      <c r="E1443" s="230"/>
      <c r="F1443" s="215"/>
      <c r="G1443" s="242"/>
    </row>
    <row r="1444" spans="1:19" ht="27.75" customHeight="1" x14ac:dyDescent="0.2">
      <c r="A1444" s="203"/>
      <c r="B1444" s="213" t="s">
        <v>2769</v>
      </c>
      <c r="C1444" s="214">
        <v>200</v>
      </c>
      <c r="D1444" s="206" t="s">
        <v>279</v>
      </c>
      <c r="E1444" s="230">
        <v>15000</v>
      </c>
      <c r="F1444" s="215">
        <f>E1444*C1444</f>
        <v>3000000</v>
      </c>
      <c r="G1444" s="242"/>
    </row>
    <row r="1445" spans="1:19" x14ac:dyDescent="0.2">
      <c r="A1445" s="203"/>
      <c r="B1445" s="213"/>
      <c r="C1445" s="214"/>
      <c r="D1445" s="206"/>
      <c r="E1445" s="230"/>
      <c r="F1445" s="230"/>
      <c r="G1445" s="242"/>
    </row>
    <row r="1446" spans="1:19" ht="24" customHeight="1" x14ac:dyDescent="0.2">
      <c r="A1446" s="203" t="s">
        <v>1446</v>
      </c>
      <c r="B1446" s="213" t="s">
        <v>304</v>
      </c>
      <c r="C1446" s="214"/>
      <c r="D1446" s="206"/>
      <c r="E1446" s="230"/>
      <c r="F1446" s="215"/>
      <c r="G1446" s="242"/>
    </row>
    <row r="1447" spans="1:19" x14ac:dyDescent="0.2">
      <c r="A1447" s="258" t="s">
        <v>1794</v>
      </c>
      <c r="B1447" s="217" t="s">
        <v>1795</v>
      </c>
      <c r="C1447" s="214"/>
      <c r="D1447" s="407"/>
      <c r="E1447" s="215"/>
      <c r="F1447" s="368"/>
      <c r="G1447" s="242"/>
    </row>
    <row r="1448" spans="1:19" ht="33" customHeight="1" x14ac:dyDescent="0.2">
      <c r="A1448" s="212"/>
      <c r="B1448" s="213" t="s">
        <v>1447</v>
      </c>
      <c r="C1448" s="214">
        <v>16</v>
      </c>
      <c r="D1448" s="206" t="s">
        <v>21</v>
      </c>
      <c r="E1448" s="230">
        <v>100000</v>
      </c>
      <c r="F1448" s="230">
        <f>E1448*C1448</f>
        <v>1600000</v>
      </c>
      <c r="G1448" s="242"/>
    </row>
    <row r="1449" spans="1:19" x14ac:dyDescent="0.2">
      <c r="A1449" s="212"/>
      <c r="B1449" s="213"/>
      <c r="C1449" s="214"/>
      <c r="D1449" s="206"/>
      <c r="E1449" s="230"/>
      <c r="F1449" s="230"/>
      <c r="G1449" s="242"/>
    </row>
    <row r="1450" spans="1:19" x14ac:dyDescent="0.2">
      <c r="A1450" s="1823" t="s">
        <v>26</v>
      </c>
      <c r="B1450" s="1794"/>
      <c r="C1450" s="453"/>
      <c r="D1450" s="454"/>
      <c r="E1450" s="213"/>
      <c r="F1450" s="442">
        <f>SUM(F1431:F1449)</f>
        <v>5236500</v>
      </c>
      <c r="G1450" s="242" t="s">
        <v>1845</v>
      </c>
      <c r="L1450" s="637">
        <f>F1450</f>
        <v>5236500</v>
      </c>
      <c r="S1450" s="637"/>
    </row>
    <row r="1452" spans="1:19" x14ac:dyDescent="0.2">
      <c r="A1452" s="1762" t="s">
        <v>549</v>
      </c>
      <c r="B1452" s="1762"/>
      <c r="C1452" s="188" t="s">
        <v>27</v>
      </c>
      <c r="D1452" s="1763" t="s">
        <v>1429</v>
      </c>
      <c r="E1452" s="1763"/>
      <c r="F1452" s="1763"/>
      <c r="G1452" s="188"/>
    </row>
    <row r="1453" spans="1:19" x14ac:dyDescent="0.2">
      <c r="A1453" s="1762" t="s">
        <v>28</v>
      </c>
      <c r="B1453" s="1762"/>
      <c r="C1453" s="188"/>
      <c r="D1453" s="1764" t="s">
        <v>2833</v>
      </c>
      <c r="E1453" s="1764"/>
      <c r="F1453" s="1764"/>
      <c r="G1453" s="188"/>
    </row>
    <row r="1454" spans="1:19" x14ac:dyDescent="0.2">
      <c r="A1454" s="186"/>
      <c r="B1454" s="187"/>
      <c r="C1454" s="188"/>
      <c r="D1454" s="189"/>
      <c r="E1454" s="218"/>
      <c r="F1454" s="218"/>
      <c r="G1454" s="188"/>
    </row>
    <row r="1455" spans="1:19" x14ac:dyDescent="0.2">
      <c r="A1455" s="186"/>
      <c r="B1455" s="187"/>
      <c r="C1455" s="188"/>
      <c r="D1455" s="189"/>
      <c r="E1455" s="218"/>
      <c r="F1455" s="218"/>
      <c r="G1455" s="188"/>
    </row>
    <row r="1456" spans="1:19" x14ac:dyDescent="0.2">
      <c r="A1456" s="1762"/>
      <c r="B1456" s="1762"/>
      <c r="C1456" s="188"/>
      <c r="D1456" s="189"/>
      <c r="E1456" s="1762"/>
      <c r="F1456" s="1762"/>
      <c r="G1456" s="188"/>
    </row>
    <row r="1457" spans="1:7" x14ac:dyDescent="0.2">
      <c r="A1457" s="1762" t="s">
        <v>29</v>
      </c>
      <c r="B1457" s="1762"/>
      <c r="C1457" s="188"/>
      <c r="D1457" s="1762" t="s">
        <v>2954</v>
      </c>
      <c r="E1457" s="1762"/>
      <c r="F1457" s="1762"/>
      <c r="G1457" s="188"/>
    </row>
    <row r="1458" spans="1:7" x14ac:dyDescent="0.2">
      <c r="A1458" s="1765" t="s">
        <v>0</v>
      </c>
      <c r="B1458" s="1765"/>
      <c r="C1458" s="1765"/>
      <c r="D1458" s="1765"/>
      <c r="E1458" s="1765"/>
      <c r="F1458" s="1765"/>
      <c r="G1458" s="1765"/>
    </row>
    <row r="1459" spans="1:7" x14ac:dyDescent="0.2">
      <c r="A1459" s="1765" t="s">
        <v>1</v>
      </c>
      <c r="B1459" s="1765"/>
      <c r="C1459" s="1765"/>
      <c r="D1459" s="1765"/>
      <c r="E1459" s="1765"/>
      <c r="F1459" s="1765"/>
      <c r="G1459" s="1765"/>
    </row>
    <row r="1460" spans="1:7" x14ac:dyDescent="0.2">
      <c r="A1460" s="1765" t="s">
        <v>1769</v>
      </c>
      <c r="B1460" s="1765"/>
      <c r="C1460" s="1765"/>
      <c r="D1460" s="1765"/>
      <c r="E1460" s="1765"/>
      <c r="F1460" s="1765"/>
      <c r="G1460" s="1765"/>
    </row>
    <row r="1461" spans="1:7" x14ac:dyDescent="0.2">
      <c r="A1461" s="185" t="s">
        <v>690</v>
      </c>
      <c r="B1461" s="185" t="s">
        <v>689</v>
      </c>
      <c r="C1461" s="185"/>
      <c r="D1461" s="185"/>
      <c r="E1461" s="227" t="s">
        <v>6</v>
      </c>
      <c r="F1461" s="227" t="s">
        <v>63</v>
      </c>
      <c r="G1461" s="185"/>
    </row>
    <row r="1462" spans="1:7" x14ac:dyDescent="0.2">
      <c r="A1462" s="385" t="s">
        <v>247</v>
      </c>
      <c r="B1462" s="385" t="s">
        <v>688</v>
      </c>
      <c r="C1462" s="385"/>
      <c r="D1462" s="184"/>
      <c r="E1462" s="193" t="s">
        <v>515</v>
      </c>
      <c r="F1462" s="193" t="s">
        <v>63</v>
      </c>
      <c r="G1462" s="185"/>
    </row>
    <row r="1463" spans="1:7" ht="23.25" customHeight="1" x14ac:dyDescent="0.2">
      <c r="A1463" s="507" t="s">
        <v>687</v>
      </c>
      <c r="B1463" s="386" t="s">
        <v>1619</v>
      </c>
      <c r="C1463" s="385"/>
      <c r="D1463" s="184"/>
      <c r="E1463" s="468"/>
      <c r="F1463" s="385"/>
      <c r="G1463" s="185"/>
    </row>
    <row r="1464" spans="1:7" ht="24" x14ac:dyDescent="0.2">
      <c r="A1464" s="469" t="s">
        <v>547</v>
      </c>
      <c r="B1464" s="469" t="s">
        <v>11</v>
      </c>
      <c r="C1464" s="1954" t="s">
        <v>12</v>
      </c>
      <c r="D1464" s="1955"/>
      <c r="E1464" s="470" t="s">
        <v>13</v>
      </c>
      <c r="F1464" s="479" t="s">
        <v>14</v>
      </c>
      <c r="G1464" s="471" t="s">
        <v>266</v>
      </c>
    </row>
    <row r="1465" spans="1:7" x14ac:dyDescent="0.2">
      <c r="A1465" s="472">
        <v>1</v>
      </c>
      <c r="B1465" s="472">
        <v>2</v>
      </c>
      <c r="C1465" s="1943">
        <v>3</v>
      </c>
      <c r="D1465" s="1944"/>
      <c r="E1465" s="473">
        <v>4</v>
      </c>
      <c r="F1465" s="392">
        <v>5</v>
      </c>
      <c r="G1465" s="471">
        <v>6</v>
      </c>
    </row>
    <row r="1466" spans="1:7" x14ac:dyDescent="0.2">
      <c r="A1466" s="391" t="s">
        <v>834</v>
      </c>
      <c r="B1466" s="463" t="s">
        <v>287</v>
      </c>
      <c r="C1466" s="474"/>
      <c r="D1466" s="475"/>
      <c r="E1466" s="476"/>
      <c r="F1466" s="516"/>
      <c r="G1466" s="242"/>
    </row>
    <row r="1467" spans="1:7" ht="17.25" customHeight="1" x14ac:dyDescent="0.2">
      <c r="A1467" s="391" t="s">
        <v>833</v>
      </c>
      <c r="B1467" s="463" t="s">
        <v>86</v>
      </c>
      <c r="C1467" s="474"/>
      <c r="D1467" s="475"/>
      <c r="E1467" s="476"/>
      <c r="F1467" s="516"/>
      <c r="G1467" s="242"/>
    </row>
    <row r="1468" spans="1:7" ht="27" customHeight="1" x14ac:dyDescent="0.2">
      <c r="A1468" s="391" t="s">
        <v>832</v>
      </c>
      <c r="B1468" s="463" t="s">
        <v>738</v>
      </c>
      <c r="C1468" s="474"/>
      <c r="D1468" s="475"/>
      <c r="E1468" s="476"/>
      <c r="F1468" s="516"/>
      <c r="G1468" s="242"/>
    </row>
    <row r="1469" spans="1:7" x14ac:dyDescent="0.2">
      <c r="A1469" s="242"/>
      <c r="B1469" s="463" t="s">
        <v>2779</v>
      </c>
      <c r="C1469" s="214">
        <v>1</v>
      </c>
      <c r="D1469" s="407" t="s">
        <v>89</v>
      </c>
      <c r="E1469" s="215">
        <v>70000</v>
      </c>
      <c r="F1469" s="516">
        <f>E1469*C1469</f>
        <v>70000</v>
      </c>
      <c r="G1469" s="242"/>
    </row>
    <row r="1470" spans="1:7" x14ac:dyDescent="0.2">
      <c r="A1470" s="242"/>
      <c r="B1470" s="217" t="s">
        <v>1260</v>
      </c>
      <c r="C1470" s="214">
        <v>300</v>
      </c>
      <c r="D1470" s="407" t="s">
        <v>276</v>
      </c>
      <c r="E1470" s="215">
        <v>400</v>
      </c>
      <c r="F1470" s="516">
        <f>E1470*C1470</f>
        <v>120000</v>
      </c>
      <c r="G1470" s="242"/>
    </row>
    <row r="1471" spans="1:7" x14ac:dyDescent="0.2">
      <c r="A1471" s="242"/>
      <c r="B1471" s="242" t="s">
        <v>2802</v>
      </c>
      <c r="C1471" s="214">
        <v>35</v>
      </c>
      <c r="D1471" s="407" t="s">
        <v>95</v>
      </c>
      <c r="E1471" s="215">
        <v>3600</v>
      </c>
      <c r="F1471" s="516">
        <f>E1471*C1471</f>
        <v>126000</v>
      </c>
      <c r="G1471" s="242"/>
    </row>
    <row r="1472" spans="1:7" x14ac:dyDescent="0.2">
      <c r="A1472" s="242"/>
      <c r="B1472" s="242" t="s">
        <v>1776</v>
      </c>
      <c r="C1472" s="214">
        <v>35</v>
      </c>
      <c r="D1472" s="407" t="s">
        <v>95</v>
      </c>
      <c r="E1472" s="215">
        <v>6000</v>
      </c>
      <c r="F1472" s="516">
        <f>E1472*C1472</f>
        <v>210000</v>
      </c>
      <c r="G1472" s="242"/>
    </row>
    <row r="1473" spans="1:21" x14ac:dyDescent="0.2">
      <c r="A1473" s="242"/>
      <c r="B1473" s="217"/>
      <c r="C1473" s="214"/>
      <c r="D1473" s="407"/>
      <c r="E1473" s="215"/>
      <c r="F1473" s="516"/>
      <c r="G1473" s="242"/>
    </row>
    <row r="1474" spans="1:21" ht="29.25" customHeight="1" x14ac:dyDescent="0.2">
      <c r="A1474" s="391" t="s">
        <v>830</v>
      </c>
      <c r="B1474" s="213" t="s">
        <v>317</v>
      </c>
      <c r="C1474" s="214"/>
      <c r="D1474" s="407"/>
      <c r="E1474" s="215"/>
      <c r="F1474" s="516"/>
      <c r="G1474" s="242"/>
    </row>
    <row r="1475" spans="1:21" x14ac:dyDescent="0.2">
      <c r="A1475" s="242"/>
      <c r="B1475" s="217" t="s">
        <v>1780</v>
      </c>
      <c r="C1475" s="214">
        <v>35</v>
      </c>
      <c r="D1475" s="407" t="s">
        <v>507</v>
      </c>
      <c r="E1475" s="215">
        <v>15000</v>
      </c>
      <c r="F1475" s="516">
        <f>E1475*C1475</f>
        <v>525000</v>
      </c>
      <c r="G1475" s="242"/>
    </row>
    <row r="1476" spans="1:21" x14ac:dyDescent="0.2">
      <c r="A1476" s="474"/>
      <c r="B1476" s="217"/>
      <c r="C1476" s="214"/>
      <c r="D1476" s="407"/>
      <c r="E1476" s="215"/>
      <c r="F1476" s="516"/>
      <c r="G1476" s="242"/>
    </row>
    <row r="1477" spans="1:21" ht="24.75" customHeight="1" x14ac:dyDescent="0.2">
      <c r="A1477" s="391" t="s">
        <v>1620</v>
      </c>
      <c r="B1477" s="213" t="s">
        <v>337</v>
      </c>
      <c r="C1477" s="214"/>
      <c r="D1477" s="407"/>
      <c r="E1477" s="215"/>
      <c r="F1477" s="516"/>
      <c r="G1477" s="242"/>
    </row>
    <row r="1478" spans="1:21" x14ac:dyDescent="0.2">
      <c r="A1478" s="474"/>
      <c r="B1478" s="217" t="s">
        <v>338</v>
      </c>
      <c r="C1478" s="214">
        <v>1</v>
      </c>
      <c r="D1478" s="407" t="s">
        <v>95</v>
      </c>
      <c r="E1478" s="215">
        <v>93687.09</v>
      </c>
      <c r="F1478" s="516">
        <f>E1478*C1478</f>
        <v>93687.09</v>
      </c>
      <c r="G1478" s="242"/>
      <c r="H1478" s="457"/>
    </row>
    <row r="1479" spans="1:21" x14ac:dyDescent="0.2">
      <c r="A1479" s="474"/>
      <c r="B1479" s="217"/>
      <c r="C1479" s="214"/>
      <c r="D1479" s="407"/>
      <c r="E1479" s="215"/>
      <c r="F1479" s="516"/>
      <c r="G1479" s="242"/>
    </row>
    <row r="1480" spans="1:21" ht="33" customHeight="1" x14ac:dyDescent="0.2">
      <c r="A1480" s="391" t="s">
        <v>1781</v>
      </c>
      <c r="B1480" s="463" t="s">
        <v>1782</v>
      </c>
      <c r="C1480" s="214"/>
      <c r="D1480" s="407"/>
      <c r="E1480" s="215"/>
      <c r="F1480" s="516"/>
      <c r="G1480" s="242"/>
    </row>
    <row r="1481" spans="1:21" ht="33" customHeight="1" x14ac:dyDescent="0.2">
      <c r="A1481" s="391" t="s">
        <v>1783</v>
      </c>
      <c r="B1481" s="463" t="s">
        <v>384</v>
      </c>
      <c r="C1481" s="214"/>
      <c r="D1481" s="407"/>
      <c r="E1481" s="215"/>
      <c r="F1481" s="516"/>
      <c r="G1481" s="242"/>
    </row>
    <row r="1482" spans="1:21" ht="21.75" customHeight="1" x14ac:dyDescent="0.2">
      <c r="A1482" s="596"/>
      <c r="B1482" s="463" t="s">
        <v>1784</v>
      </c>
      <c r="C1482" s="214">
        <v>35</v>
      </c>
      <c r="D1482" s="407" t="s">
        <v>1785</v>
      </c>
      <c r="E1482" s="215">
        <v>50000</v>
      </c>
      <c r="F1482" s="516">
        <f>E1482*C1482</f>
        <v>1750000</v>
      </c>
      <c r="G1482" s="242"/>
    </row>
    <row r="1483" spans="1:21" x14ac:dyDescent="0.2">
      <c r="A1483" s="474"/>
      <c r="B1483" s="217"/>
      <c r="C1483" s="214"/>
      <c r="D1483" s="407"/>
      <c r="E1483" s="215"/>
      <c r="F1483" s="516"/>
      <c r="G1483" s="242"/>
    </row>
    <row r="1484" spans="1:21" x14ac:dyDescent="0.2">
      <c r="A1484" s="242"/>
      <c r="B1484" s="546"/>
      <c r="C1484" s="235"/>
      <c r="D1484" s="451"/>
      <c r="E1484" s="426"/>
      <c r="F1484" s="521"/>
      <c r="G1484" s="242"/>
    </row>
    <row r="1485" spans="1:21" x14ac:dyDescent="0.2">
      <c r="A1485" s="242"/>
      <c r="B1485" s="1984" t="s">
        <v>26</v>
      </c>
      <c r="C1485" s="1984"/>
      <c r="D1485" s="1984"/>
      <c r="E1485" s="1984"/>
      <c r="F1485" s="477">
        <f>SUM(F1467:F1484)</f>
        <v>2894687.09</v>
      </c>
      <c r="G1485" s="242" t="s">
        <v>2571</v>
      </c>
      <c r="S1485" s="457"/>
      <c r="U1485" s="457">
        <f>F1485</f>
        <v>2894687.09</v>
      </c>
    </row>
    <row r="1487" spans="1:21" x14ac:dyDescent="0.2">
      <c r="A1487" s="1762" t="s">
        <v>549</v>
      </c>
      <c r="B1487" s="1762"/>
      <c r="C1487" s="188" t="s">
        <v>27</v>
      </c>
      <c r="D1487" s="1763" t="s">
        <v>1429</v>
      </c>
      <c r="E1487" s="1763"/>
      <c r="F1487" s="1763"/>
      <c r="G1487" s="188"/>
    </row>
    <row r="1488" spans="1:21" x14ac:dyDescent="0.2">
      <c r="A1488" s="1762" t="s">
        <v>28</v>
      </c>
      <c r="B1488" s="1762"/>
      <c r="C1488" s="188"/>
      <c r="D1488" s="1764" t="s">
        <v>2833</v>
      </c>
      <c r="E1488" s="1764"/>
      <c r="F1488" s="1764"/>
      <c r="G1488" s="188"/>
    </row>
    <row r="1489" spans="1:7" x14ac:dyDescent="0.2">
      <c r="A1489" s="186"/>
      <c r="B1489" s="187"/>
      <c r="C1489" s="188"/>
      <c r="D1489" s="189"/>
      <c r="E1489" s="218"/>
      <c r="F1489" s="218"/>
      <c r="G1489" s="188"/>
    </row>
    <row r="1490" spans="1:7" x14ac:dyDescent="0.2">
      <c r="A1490" s="186"/>
      <c r="B1490" s="187"/>
      <c r="C1490" s="188"/>
      <c r="D1490" s="189"/>
      <c r="E1490" s="218"/>
      <c r="F1490" s="218"/>
      <c r="G1490" s="188"/>
    </row>
    <row r="1491" spans="1:7" x14ac:dyDescent="0.2">
      <c r="A1491" s="1762"/>
      <c r="B1491" s="1762"/>
      <c r="C1491" s="188"/>
      <c r="D1491" s="189"/>
      <c r="E1491" s="1762"/>
      <c r="F1491" s="1762"/>
      <c r="G1491" s="188"/>
    </row>
    <row r="1492" spans="1:7" x14ac:dyDescent="0.2">
      <c r="A1492" s="1762" t="s">
        <v>29</v>
      </c>
      <c r="B1492" s="1762"/>
      <c r="C1492" s="188"/>
      <c r="D1492" s="1762" t="s">
        <v>2954</v>
      </c>
      <c r="E1492" s="1762"/>
      <c r="F1492" s="1762"/>
      <c r="G1492" s="188"/>
    </row>
    <row r="1494" spans="1:7" x14ac:dyDescent="0.2">
      <c r="A1494" s="1765" t="s">
        <v>0</v>
      </c>
      <c r="B1494" s="1765"/>
      <c r="C1494" s="1765"/>
      <c r="D1494" s="1765"/>
      <c r="E1494" s="1765"/>
      <c r="F1494" s="1765"/>
      <c r="G1494" s="1765"/>
    </row>
    <row r="1495" spans="1:7" x14ac:dyDescent="0.2">
      <c r="A1495" s="1765" t="s">
        <v>1</v>
      </c>
      <c r="B1495" s="1765"/>
      <c r="C1495" s="1765"/>
      <c r="D1495" s="1765"/>
      <c r="E1495" s="1765"/>
      <c r="F1495" s="1765"/>
      <c r="G1495" s="1765"/>
    </row>
    <row r="1496" spans="1:7" x14ac:dyDescent="0.2">
      <c r="A1496" s="1765" t="s">
        <v>1769</v>
      </c>
      <c r="B1496" s="1765"/>
      <c r="C1496" s="1765"/>
      <c r="D1496" s="1765"/>
      <c r="E1496" s="1765"/>
      <c r="F1496" s="1765"/>
      <c r="G1496" s="1765"/>
    </row>
    <row r="1497" spans="1:7" x14ac:dyDescent="0.2">
      <c r="A1497" s="185" t="s">
        <v>710</v>
      </c>
      <c r="B1497" s="185" t="s">
        <v>711</v>
      </c>
      <c r="C1497" s="185"/>
      <c r="D1497" s="185"/>
      <c r="E1497" s="227" t="s">
        <v>6</v>
      </c>
      <c r="F1497" s="227" t="s">
        <v>63</v>
      </c>
      <c r="G1497" s="185"/>
    </row>
    <row r="1498" spans="1:7" x14ac:dyDescent="0.2">
      <c r="A1498" s="385" t="s">
        <v>712</v>
      </c>
      <c r="B1498" s="385" t="s">
        <v>713</v>
      </c>
      <c r="C1498" s="385"/>
      <c r="D1498" s="184"/>
      <c r="E1498" s="195" t="s">
        <v>9</v>
      </c>
      <c r="F1498" s="578" t="s">
        <v>63</v>
      </c>
      <c r="G1498" s="185"/>
    </row>
    <row r="1499" spans="1:7" ht="18" customHeight="1" x14ac:dyDescent="0.2">
      <c r="A1499" s="507" t="s">
        <v>687</v>
      </c>
      <c r="B1499" s="505" t="s">
        <v>1802</v>
      </c>
      <c r="C1499" s="385"/>
      <c r="D1499" s="184"/>
      <c r="E1499" s="468"/>
      <c r="F1499" s="385"/>
      <c r="G1499" s="185"/>
    </row>
    <row r="1500" spans="1:7" x14ac:dyDescent="0.2">
      <c r="A1500" s="185" t="s">
        <v>60</v>
      </c>
      <c r="B1500" s="185" t="s">
        <v>61</v>
      </c>
      <c r="C1500" s="185"/>
      <c r="D1500" s="185"/>
      <c r="E1500" s="185"/>
      <c r="F1500" s="185"/>
      <c r="G1500" s="185"/>
    </row>
    <row r="1501" spans="1:7" x14ac:dyDescent="0.2">
      <c r="A1501" s="1893" t="s">
        <v>503</v>
      </c>
      <c r="B1501" s="1893"/>
      <c r="C1501" s="185"/>
      <c r="D1501" s="385"/>
      <c r="E1501" s="431"/>
      <c r="F1501" s="185"/>
      <c r="G1501" s="185"/>
    </row>
    <row r="1502" spans="1:7" ht="24" x14ac:dyDescent="0.2">
      <c r="A1502" s="461" t="s">
        <v>30</v>
      </c>
      <c r="B1502" s="461" t="s">
        <v>11</v>
      </c>
      <c r="C1502" s="1972" t="s">
        <v>12</v>
      </c>
      <c r="D1502" s="1973"/>
      <c r="E1502" s="462" t="s">
        <v>13</v>
      </c>
      <c r="F1502" s="461" t="s">
        <v>14</v>
      </c>
      <c r="G1502" s="200" t="s">
        <v>34</v>
      </c>
    </row>
    <row r="1503" spans="1:7" x14ac:dyDescent="0.2">
      <c r="A1503" s="200">
        <v>1</v>
      </c>
      <c r="B1503" s="200">
        <v>2</v>
      </c>
      <c r="C1503" s="1789">
        <v>3</v>
      </c>
      <c r="D1503" s="1789"/>
      <c r="E1503" s="491">
        <v>4</v>
      </c>
      <c r="F1503" s="200">
        <v>5</v>
      </c>
      <c r="G1503" s="200">
        <v>6</v>
      </c>
    </row>
    <row r="1504" spans="1:7" x14ac:dyDescent="0.2">
      <c r="A1504" s="391" t="s">
        <v>778</v>
      </c>
      <c r="B1504" s="369" t="s">
        <v>287</v>
      </c>
      <c r="C1504" s="419"/>
      <c r="D1504" s="420"/>
      <c r="E1504" s="491"/>
      <c r="F1504" s="200"/>
      <c r="G1504" s="222"/>
    </row>
    <row r="1505" spans="1:7" x14ac:dyDescent="0.2">
      <c r="A1505" s="391" t="s">
        <v>777</v>
      </c>
      <c r="B1505" s="369" t="s">
        <v>86</v>
      </c>
      <c r="C1505" s="419"/>
      <c r="D1505" s="420"/>
      <c r="E1505" s="491"/>
      <c r="F1505" s="200"/>
      <c r="G1505" s="222"/>
    </row>
    <row r="1506" spans="1:7" ht="24" x14ac:dyDescent="0.2">
      <c r="A1506" s="257" t="s">
        <v>782</v>
      </c>
      <c r="B1506" s="369" t="s">
        <v>738</v>
      </c>
      <c r="C1506" s="419"/>
      <c r="D1506" s="420"/>
      <c r="E1506" s="491"/>
      <c r="F1506" s="200"/>
      <c r="G1506" s="222"/>
    </row>
    <row r="1507" spans="1:7" x14ac:dyDescent="0.2">
      <c r="A1507" s="200"/>
      <c r="B1507" s="463" t="s">
        <v>2858</v>
      </c>
      <c r="C1507" s="205">
        <v>1</v>
      </c>
      <c r="D1507" s="206" t="s">
        <v>89</v>
      </c>
      <c r="E1507" s="175">
        <v>70000</v>
      </c>
      <c r="F1507" s="175">
        <f>C1507*E1507</f>
        <v>70000</v>
      </c>
      <c r="G1507" s="369"/>
    </row>
    <row r="1508" spans="1:7" x14ac:dyDescent="0.2">
      <c r="A1508" s="200"/>
      <c r="B1508" s="465" t="s">
        <v>275</v>
      </c>
      <c r="C1508" s="205">
        <v>130</v>
      </c>
      <c r="D1508" s="206" t="s">
        <v>276</v>
      </c>
      <c r="E1508" s="175">
        <v>400</v>
      </c>
      <c r="F1508" s="175">
        <f>C1508*E1508</f>
        <v>52000</v>
      </c>
      <c r="G1508" s="369"/>
    </row>
    <row r="1509" spans="1:7" x14ac:dyDescent="0.2">
      <c r="A1509" s="200"/>
      <c r="B1509" s="463" t="s">
        <v>2802</v>
      </c>
      <c r="C1509" s="205">
        <v>15</v>
      </c>
      <c r="D1509" s="206" t="s">
        <v>272</v>
      </c>
      <c r="E1509" s="175">
        <v>3600</v>
      </c>
      <c r="F1509" s="175">
        <f>C1509*E1509</f>
        <v>54000</v>
      </c>
      <c r="G1509" s="369"/>
    </row>
    <row r="1510" spans="1:7" x14ac:dyDescent="0.2">
      <c r="A1510" s="222"/>
      <c r="B1510" s="242" t="s">
        <v>1772</v>
      </c>
      <c r="C1510" s="205">
        <v>15</v>
      </c>
      <c r="D1510" s="206" t="s">
        <v>272</v>
      </c>
      <c r="E1510" s="175">
        <v>27000</v>
      </c>
      <c r="F1510" s="175">
        <f>C1510*E1510</f>
        <v>405000</v>
      </c>
      <c r="G1510" s="369"/>
    </row>
    <row r="1511" spans="1:7" x14ac:dyDescent="0.2">
      <c r="A1511" s="222"/>
      <c r="B1511" s="217"/>
      <c r="C1511" s="214"/>
      <c r="D1511" s="407"/>
      <c r="E1511" s="230"/>
      <c r="F1511" s="408"/>
      <c r="G1511" s="369"/>
    </row>
    <row r="1512" spans="1:7" ht="24" x14ac:dyDescent="0.2">
      <c r="A1512" s="257" t="s">
        <v>776</v>
      </c>
      <c r="B1512" s="213" t="s">
        <v>317</v>
      </c>
      <c r="C1512" s="214"/>
      <c r="D1512" s="407"/>
      <c r="E1512" s="215"/>
      <c r="F1512" s="408"/>
      <c r="G1512" s="369"/>
    </row>
    <row r="1513" spans="1:7" x14ac:dyDescent="0.2">
      <c r="A1513" s="222"/>
      <c r="B1513" s="217" t="s">
        <v>679</v>
      </c>
      <c r="C1513" s="214"/>
      <c r="D1513" s="407"/>
      <c r="E1513" s="230"/>
      <c r="F1513" s="422"/>
      <c r="G1513" s="369"/>
    </row>
    <row r="1514" spans="1:7" x14ac:dyDescent="0.2">
      <c r="A1514" s="222"/>
      <c r="B1514" s="217" t="s">
        <v>2902</v>
      </c>
      <c r="C1514" s="214">
        <f>5*3*12</f>
        <v>180</v>
      </c>
      <c r="D1514" s="407" t="s">
        <v>279</v>
      </c>
      <c r="E1514" s="215">
        <v>15000</v>
      </c>
      <c r="F1514" s="422">
        <f>E1514*C1514</f>
        <v>2700000</v>
      </c>
      <c r="G1514" s="369"/>
    </row>
    <row r="1515" spans="1:7" ht="36" x14ac:dyDescent="0.2">
      <c r="A1515" s="222"/>
      <c r="B1515" s="213" t="s">
        <v>2903</v>
      </c>
      <c r="C1515" s="214">
        <f>30*3*12</f>
        <v>1080</v>
      </c>
      <c r="D1515" s="407" t="s">
        <v>279</v>
      </c>
      <c r="E1515" s="426">
        <v>15000</v>
      </c>
      <c r="F1515" s="422">
        <f>C1515*E1515</f>
        <v>16200000</v>
      </c>
      <c r="G1515" s="369"/>
    </row>
    <row r="1516" spans="1:7" x14ac:dyDescent="0.2">
      <c r="A1516" s="257" t="s">
        <v>776</v>
      </c>
      <c r="B1516" s="213" t="s">
        <v>2885</v>
      </c>
      <c r="C1516" s="214"/>
      <c r="D1516" s="407"/>
      <c r="E1516" s="426"/>
      <c r="F1516" s="422"/>
      <c r="G1516" s="369"/>
    </row>
    <row r="1517" spans="1:7" x14ac:dyDescent="0.2">
      <c r="A1517" s="257"/>
      <c r="B1517" s="213" t="s">
        <v>2890</v>
      </c>
      <c r="C1517" s="214">
        <v>3</v>
      </c>
      <c r="D1517" s="407" t="s">
        <v>229</v>
      </c>
      <c r="E1517" s="426">
        <v>54800</v>
      </c>
      <c r="F1517" s="422">
        <f>E1517*C1517</f>
        <v>164400</v>
      </c>
      <c r="G1517" s="369"/>
    </row>
    <row r="1518" spans="1:7" x14ac:dyDescent="0.2">
      <c r="A1518" s="257"/>
      <c r="B1518" s="213" t="s">
        <v>2889</v>
      </c>
      <c r="C1518" s="214">
        <v>2</v>
      </c>
      <c r="D1518" s="407" t="s">
        <v>229</v>
      </c>
      <c r="E1518" s="426">
        <v>19000</v>
      </c>
      <c r="F1518" s="422">
        <f>E1518*C1518</f>
        <v>38000</v>
      </c>
      <c r="G1518" s="369"/>
    </row>
    <row r="1519" spans="1:7" x14ac:dyDescent="0.2">
      <c r="A1519" s="222"/>
      <c r="B1519" s="213" t="s">
        <v>2886</v>
      </c>
      <c r="C1519" s="214">
        <v>2</v>
      </c>
      <c r="D1519" s="407" t="s">
        <v>229</v>
      </c>
      <c r="E1519" s="426">
        <v>105000</v>
      </c>
      <c r="F1519" s="422">
        <f>E1519*C1519</f>
        <v>210000</v>
      </c>
      <c r="G1519" s="369"/>
    </row>
    <row r="1520" spans="1:7" x14ac:dyDescent="0.2">
      <c r="A1520" s="222"/>
      <c r="B1520" s="213" t="s">
        <v>2887</v>
      </c>
      <c r="C1520" s="214">
        <v>2</v>
      </c>
      <c r="D1520" s="407" t="s">
        <v>229</v>
      </c>
      <c r="E1520" s="426">
        <v>600000</v>
      </c>
      <c r="F1520" s="422">
        <f>E1520*C1520</f>
        <v>1200000</v>
      </c>
      <c r="G1520" s="369"/>
    </row>
    <row r="1521" spans="1:19" x14ac:dyDescent="0.2">
      <c r="A1521" s="222"/>
      <c r="B1521" s="213" t="s">
        <v>2888</v>
      </c>
      <c r="C1521" s="214">
        <v>2</v>
      </c>
      <c r="D1521" s="407" t="s">
        <v>229</v>
      </c>
      <c r="E1521" s="426">
        <v>600000</v>
      </c>
      <c r="F1521" s="422">
        <f>E1521*C1521</f>
        <v>1200000</v>
      </c>
      <c r="G1521" s="369"/>
    </row>
    <row r="1522" spans="1:19" x14ac:dyDescent="0.2">
      <c r="A1522" s="257" t="s">
        <v>1803</v>
      </c>
      <c r="B1522" s="217" t="s">
        <v>1804</v>
      </c>
      <c r="C1522" s="214"/>
      <c r="D1522" s="407"/>
      <c r="E1522" s="426"/>
      <c r="F1522" s="422"/>
      <c r="G1522" s="369"/>
    </row>
    <row r="1523" spans="1:19" x14ac:dyDescent="0.2">
      <c r="A1523" s="222"/>
      <c r="B1523" s="217" t="s">
        <v>2904</v>
      </c>
      <c r="C1523" s="214">
        <v>15</v>
      </c>
      <c r="D1523" s="407" t="s">
        <v>110</v>
      </c>
      <c r="E1523" s="426">
        <v>188000</v>
      </c>
      <c r="F1523" s="422">
        <f>E1523*C1523</f>
        <v>2820000</v>
      </c>
      <c r="G1523" s="369"/>
    </row>
    <row r="1524" spans="1:19" x14ac:dyDescent="0.2">
      <c r="A1524" s="222"/>
      <c r="B1524" s="217"/>
      <c r="C1524" s="214"/>
      <c r="D1524" s="407"/>
      <c r="E1524" s="426"/>
      <c r="F1524" s="422"/>
      <c r="G1524" s="369"/>
    </row>
    <row r="1525" spans="1:19" x14ac:dyDescent="0.2">
      <c r="A1525" s="257" t="s">
        <v>775</v>
      </c>
      <c r="B1525" s="217" t="s">
        <v>304</v>
      </c>
      <c r="C1525" s="214"/>
      <c r="D1525" s="407"/>
      <c r="E1525" s="426"/>
      <c r="F1525" s="422"/>
      <c r="G1525" s="369"/>
    </row>
    <row r="1526" spans="1:19" ht="24" x14ac:dyDescent="0.2">
      <c r="A1526" s="257" t="s">
        <v>781</v>
      </c>
      <c r="B1526" s="213" t="s">
        <v>354</v>
      </c>
      <c r="C1526" s="214"/>
      <c r="D1526" s="407"/>
      <c r="E1526" s="426"/>
      <c r="F1526" s="368"/>
      <c r="G1526" s="369"/>
    </row>
    <row r="1527" spans="1:19" ht="36" x14ac:dyDescent="0.2">
      <c r="A1527" s="579"/>
      <c r="B1527" s="364" t="s">
        <v>2905</v>
      </c>
      <c r="C1527" s="235">
        <f>5*3*12</f>
        <v>180</v>
      </c>
      <c r="D1527" s="451" t="s">
        <v>279</v>
      </c>
      <c r="E1527" s="426">
        <v>200000</v>
      </c>
      <c r="F1527" s="580">
        <f>E1527*C1527</f>
        <v>36000000</v>
      </c>
      <c r="G1527" s="369"/>
    </row>
    <row r="1528" spans="1:19" x14ac:dyDescent="0.2">
      <c r="A1528" s="222"/>
      <c r="B1528" s="217"/>
      <c r="C1528" s="214"/>
      <c r="D1528" s="407"/>
      <c r="E1528" s="215"/>
      <c r="F1528" s="408"/>
      <c r="G1528" s="369"/>
    </row>
    <row r="1529" spans="1:19" x14ac:dyDescent="0.2">
      <c r="A1529" s="433"/>
      <c r="B1529" s="1841" t="s">
        <v>26</v>
      </c>
      <c r="C1529" s="1992"/>
      <c r="D1529" s="1992"/>
      <c r="E1529" s="1992"/>
      <c r="F1529" s="408">
        <f>SUM(F1507:F1528)</f>
        <v>61113400</v>
      </c>
      <c r="G1529" s="369" t="s">
        <v>2569</v>
      </c>
      <c r="S1529" s="457">
        <f>F1529</f>
        <v>61113400</v>
      </c>
    </row>
    <row r="1531" spans="1:19" x14ac:dyDescent="0.2">
      <c r="A1531" s="1762" t="s">
        <v>549</v>
      </c>
      <c r="B1531" s="1762"/>
      <c r="C1531" s="188" t="s">
        <v>27</v>
      </c>
      <c r="D1531" s="1763" t="s">
        <v>1429</v>
      </c>
      <c r="E1531" s="1763"/>
      <c r="F1531" s="1763"/>
      <c r="G1531" s="188"/>
    </row>
    <row r="1532" spans="1:19" x14ac:dyDescent="0.2">
      <c r="A1532" s="1762" t="s">
        <v>28</v>
      </c>
      <c r="B1532" s="1762"/>
      <c r="C1532" s="188"/>
      <c r="D1532" s="1764" t="s">
        <v>2833</v>
      </c>
      <c r="E1532" s="1764"/>
      <c r="F1532" s="1764"/>
      <c r="G1532" s="188"/>
    </row>
    <row r="1533" spans="1:19" x14ac:dyDescent="0.2">
      <c r="A1533" s="186"/>
      <c r="B1533" s="187"/>
      <c r="C1533" s="188"/>
      <c r="D1533" s="189"/>
      <c r="E1533" s="218"/>
      <c r="F1533" s="218"/>
      <c r="G1533" s="188"/>
    </row>
    <row r="1534" spans="1:19" x14ac:dyDescent="0.2">
      <c r="A1534" s="186"/>
      <c r="B1534" s="187"/>
      <c r="C1534" s="188"/>
      <c r="D1534" s="189"/>
      <c r="E1534" s="218"/>
      <c r="F1534" s="218"/>
      <c r="G1534" s="188"/>
    </row>
    <row r="1535" spans="1:19" x14ac:dyDescent="0.2">
      <c r="A1535" s="1762"/>
      <c r="B1535" s="1762"/>
      <c r="C1535" s="188"/>
      <c r="D1535" s="189"/>
      <c r="E1535" s="1762"/>
      <c r="F1535" s="1762"/>
      <c r="G1535" s="188"/>
    </row>
    <row r="1536" spans="1:19" x14ac:dyDescent="0.2">
      <c r="A1536" s="1762" t="s">
        <v>29</v>
      </c>
      <c r="B1536" s="1762"/>
      <c r="C1536" s="188"/>
      <c r="D1536" s="1762" t="s">
        <v>2954</v>
      </c>
      <c r="E1536" s="1762"/>
      <c r="F1536" s="1762"/>
      <c r="G1536" s="188"/>
    </row>
    <row r="1537" spans="1:7" customFormat="1" ht="15" x14ac:dyDescent="0.25">
      <c r="A1537" s="1796" t="s">
        <v>0</v>
      </c>
      <c r="B1537" s="1796"/>
      <c r="C1537" s="1796"/>
      <c r="D1537" s="1796"/>
      <c r="E1537" s="1796"/>
      <c r="F1537" s="1796"/>
      <c r="G1537" s="1796"/>
    </row>
    <row r="1538" spans="1:7" customFormat="1" ht="15" x14ac:dyDescent="0.25">
      <c r="A1538" s="1796" t="s">
        <v>1</v>
      </c>
      <c r="B1538" s="1796"/>
      <c r="C1538" s="1796"/>
      <c r="D1538" s="1796"/>
      <c r="E1538" s="1796"/>
      <c r="F1538" s="1796"/>
      <c r="G1538" s="1796"/>
    </row>
    <row r="1539" spans="1:7" customFormat="1" ht="15" x14ac:dyDescent="0.25">
      <c r="A1539" s="1796" t="s">
        <v>1769</v>
      </c>
      <c r="B1539" s="1796"/>
      <c r="C1539" s="1796"/>
      <c r="D1539" s="1796"/>
      <c r="E1539" s="1796"/>
      <c r="F1539" s="1796"/>
      <c r="G1539" s="1796"/>
    </row>
    <row r="1540" spans="1:7" customFormat="1" ht="15" x14ac:dyDescent="0.25">
      <c r="A1540" s="374"/>
      <c r="B1540" s="375"/>
      <c r="C1540" s="376"/>
      <c r="D1540" s="376"/>
      <c r="E1540" s="377"/>
      <c r="F1540" s="377"/>
      <c r="G1540" s="377"/>
    </row>
    <row r="1541" spans="1:7" customFormat="1" ht="15" x14ac:dyDescent="0.25">
      <c r="A1541" s="377" t="s">
        <v>1483</v>
      </c>
      <c r="B1541" s="378"/>
      <c r="C1541" s="379"/>
      <c r="D1541" s="379"/>
      <c r="E1541" s="380"/>
      <c r="F1541" s="380"/>
      <c r="G1541" s="377"/>
    </row>
    <row r="1542" spans="1:7" customFormat="1" ht="24.75" x14ac:dyDescent="0.25">
      <c r="A1542" s="381" t="s">
        <v>712</v>
      </c>
      <c r="B1542" s="382" t="s">
        <v>1504</v>
      </c>
      <c r="C1542" s="379"/>
      <c r="D1542" s="379"/>
      <c r="E1542" s="380" t="s">
        <v>1484</v>
      </c>
      <c r="F1542" s="380"/>
      <c r="G1542" s="377"/>
    </row>
    <row r="1543" spans="1:7" customFormat="1" ht="75" x14ac:dyDescent="0.25">
      <c r="A1543" s="383" t="s">
        <v>749</v>
      </c>
      <c r="B1543" s="384" t="s">
        <v>2299</v>
      </c>
      <c r="C1543" s="379"/>
      <c r="D1543" s="379"/>
      <c r="E1543" s="380" t="s">
        <v>1485</v>
      </c>
      <c r="F1543" s="380"/>
      <c r="G1543" s="381"/>
    </row>
    <row r="1544" spans="1:7" customFormat="1" ht="30" x14ac:dyDescent="0.25">
      <c r="A1544" s="383" t="s">
        <v>1486</v>
      </c>
      <c r="B1544" s="384" t="s">
        <v>2300</v>
      </c>
      <c r="C1544" s="379"/>
      <c r="D1544" s="379"/>
      <c r="E1544" s="380"/>
      <c r="F1544" s="380"/>
      <c r="G1544" s="381"/>
    </row>
    <row r="1545" spans="1:7" customFormat="1" ht="15" x14ac:dyDescent="0.25">
      <c r="A1545" s="377" t="s">
        <v>1487</v>
      </c>
      <c r="B1545" s="378" t="s">
        <v>61</v>
      </c>
      <c r="C1545" s="379"/>
      <c r="D1545" s="379"/>
      <c r="E1545" s="377"/>
      <c r="F1545" s="377"/>
      <c r="G1545" s="377"/>
    </row>
    <row r="1546" spans="1:7" customFormat="1" ht="15" x14ac:dyDescent="0.25">
      <c r="A1546" s="381" t="s">
        <v>62</v>
      </c>
      <c r="B1546" s="382" t="s">
        <v>63</v>
      </c>
      <c r="C1546" s="379"/>
      <c r="D1546" s="379"/>
      <c r="E1546" s="381"/>
      <c r="F1546" s="381"/>
      <c r="G1546" s="381"/>
    </row>
    <row r="1547" spans="1:7" customFormat="1" ht="15" x14ac:dyDescent="0.25">
      <c r="A1547" s="385"/>
      <c r="B1547" s="386"/>
      <c r="C1547" s="387"/>
      <c r="D1547" s="387"/>
      <c r="E1547" s="385"/>
      <c r="F1547" s="385"/>
      <c r="G1547" s="385"/>
    </row>
    <row r="1548" spans="1:7" customFormat="1" ht="24" x14ac:dyDescent="0.25">
      <c r="A1548" s="388" t="s">
        <v>30</v>
      </c>
      <c r="B1548" s="388" t="s">
        <v>11</v>
      </c>
      <c r="C1548" s="1787" t="s">
        <v>12</v>
      </c>
      <c r="D1548" s="1788"/>
      <c r="E1548" s="152" t="s">
        <v>13</v>
      </c>
      <c r="F1548" s="389" t="s">
        <v>14</v>
      </c>
      <c r="G1548" s="390" t="s">
        <v>266</v>
      </c>
    </row>
    <row r="1549" spans="1:7" customFormat="1" ht="15" x14ac:dyDescent="0.25">
      <c r="A1549" s="197">
        <v>1</v>
      </c>
      <c r="B1549" s="198">
        <v>2</v>
      </c>
      <c r="C1549" s="1773">
        <v>3</v>
      </c>
      <c r="D1549" s="1774"/>
      <c r="E1549" s="2">
        <v>4</v>
      </c>
      <c r="F1549" s="205">
        <v>5</v>
      </c>
      <c r="G1549" s="202">
        <v>7</v>
      </c>
    </row>
    <row r="1550" spans="1:7" customFormat="1" ht="15" x14ac:dyDescent="0.25">
      <c r="A1550" s="391" t="s">
        <v>2288</v>
      </c>
      <c r="B1550" s="153" t="s">
        <v>1505</v>
      </c>
      <c r="C1550" s="154"/>
      <c r="D1550" s="155"/>
      <c r="E1550" s="156"/>
      <c r="F1550" s="157"/>
      <c r="G1550" s="202"/>
    </row>
    <row r="1551" spans="1:7" customFormat="1" ht="15" x14ac:dyDescent="0.25">
      <c r="A1551" s="391" t="s">
        <v>2289</v>
      </c>
      <c r="B1551" s="153" t="s">
        <v>2246</v>
      </c>
      <c r="C1551" s="154"/>
      <c r="D1551" s="155"/>
      <c r="E1551" s="156"/>
      <c r="F1551" s="157"/>
      <c r="G1551" s="202"/>
    </row>
    <row r="1552" spans="1:7" customFormat="1" ht="24" x14ac:dyDescent="0.25">
      <c r="A1552" s="391" t="s">
        <v>2290</v>
      </c>
      <c r="B1552" s="153" t="s">
        <v>1499</v>
      </c>
      <c r="C1552" s="392"/>
      <c r="D1552" s="155"/>
      <c r="E1552" s="156"/>
      <c r="F1552" s="157"/>
      <c r="G1552" s="202"/>
    </row>
    <row r="1553" spans="1:12" customFormat="1" ht="15.75" thickBot="1" x14ac:dyDescent="0.3">
      <c r="A1553" s="257"/>
      <c r="B1553" s="158" t="s">
        <v>2248</v>
      </c>
      <c r="C1553" s="392">
        <v>1</v>
      </c>
      <c r="D1553" s="155" t="s">
        <v>222</v>
      </c>
      <c r="E1553" s="156">
        <v>98800</v>
      </c>
      <c r="F1553" s="157">
        <f>E1553*C1553</f>
        <v>98800</v>
      </c>
      <c r="G1553" s="202"/>
    </row>
    <row r="1554" spans="1:12" customFormat="1" ht="15.75" thickBot="1" x14ac:dyDescent="0.3">
      <c r="A1554" s="207"/>
      <c r="B1554" s="1781" t="s">
        <v>548</v>
      </c>
      <c r="C1554" s="1782"/>
      <c r="D1554" s="1782"/>
      <c r="E1554" s="1783"/>
      <c r="F1554" s="163">
        <f>SUM(F1553:F1553)</f>
        <v>98800</v>
      </c>
      <c r="G1554" s="202"/>
    </row>
    <row r="1555" spans="1:12" customFormat="1" ht="15" x14ac:dyDescent="0.25">
      <c r="A1555" s="391" t="s">
        <v>2291</v>
      </c>
      <c r="B1555" s="394" t="s">
        <v>1488</v>
      </c>
      <c r="C1555" s="210"/>
      <c r="D1555" s="211"/>
      <c r="E1555" s="207"/>
      <c r="F1555" s="164"/>
      <c r="G1555" s="202"/>
    </row>
    <row r="1556" spans="1:12" customFormat="1" ht="15.75" thickBot="1" x14ac:dyDescent="0.3">
      <c r="A1556" s="391"/>
      <c r="B1556" s="396" t="s">
        <v>1490</v>
      </c>
      <c r="C1556" s="397">
        <v>38</v>
      </c>
      <c r="D1556" s="236" t="s">
        <v>419</v>
      </c>
      <c r="E1556" s="174">
        <v>130000</v>
      </c>
      <c r="F1556" s="162">
        <f>E1556*C1556</f>
        <v>4940000</v>
      </c>
      <c r="G1556" s="202"/>
    </row>
    <row r="1557" spans="1:12" customFormat="1" ht="15.75" thickBot="1" x14ac:dyDescent="0.3">
      <c r="A1557" s="398"/>
      <c r="B1557" s="1784" t="s">
        <v>548</v>
      </c>
      <c r="C1557" s="1785"/>
      <c r="D1557" s="1785"/>
      <c r="E1557" s="1786"/>
      <c r="F1557" s="163">
        <f>SUM(F1556:F1556)</f>
        <v>4940000</v>
      </c>
      <c r="G1557" s="399"/>
    </row>
    <row r="1558" spans="1:12" customFormat="1" ht="15.75" thickBot="1" x14ac:dyDescent="0.3">
      <c r="A1558" s="257"/>
      <c r="B1558" s="159"/>
      <c r="C1558" s="393"/>
      <c r="D1558" s="160"/>
      <c r="E1558" s="161"/>
      <c r="F1558" s="162"/>
      <c r="G1558" s="202"/>
    </row>
    <row r="1559" spans="1:12" customFormat="1" ht="15.75" thickBot="1" x14ac:dyDescent="0.3">
      <c r="A1559" s="210"/>
      <c r="B1559" s="1781" t="s">
        <v>26</v>
      </c>
      <c r="C1559" s="1782"/>
      <c r="D1559" s="1782"/>
      <c r="E1559" s="1783"/>
      <c r="F1559" s="163">
        <f>F1557+F1554</f>
        <v>5038800</v>
      </c>
      <c r="G1559" s="399" t="s">
        <v>1845</v>
      </c>
      <c r="L1559" s="172">
        <f>F1559</f>
        <v>5038800</v>
      </c>
    </row>
    <row r="1560" spans="1:12" x14ac:dyDescent="0.2">
      <c r="A1560" s="1762" t="s">
        <v>549</v>
      </c>
      <c r="B1560" s="1762"/>
      <c r="C1560" s="188" t="s">
        <v>27</v>
      </c>
      <c r="D1560" s="1763" t="s">
        <v>1429</v>
      </c>
      <c r="E1560" s="1763"/>
      <c r="F1560" s="1763"/>
      <c r="G1560" s="188"/>
    </row>
    <row r="1561" spans="1:12" x14ac:dyDescent="0.2">
      <c r="A1561" s="1762" t="s">
        <v>28</v>
      </c>
      <c r="B1561" s="1762"/>
      <c r="C1561" s="188"/>
      <c r="D1561" s="1764" t="s">
        <v>2833</v>
      </c>
      <c r="E1561" s="1764"/>
      <c r="F1561" s="1764"/>
      <c r="G1561" s="188"/>
    </row>
    <row r="1562" spans="1:12" x14ac:dyDescent="0.2">
      <c r="A1562" s="186"/>
      <c r="B1562" s="187"/>
      <c r="C1562" s="188"/>
      <c r="D1562" s="189"/>
      <c r="E1562" s="218"/>
      <c r="F1562" s="218"/>
      <c r="G1562" s="188"/>
    </row>
    <row r="1563" spans="1:12" x14ac:dyDescent="0.2">
      <c r="A1563" s="186"/>
      <c r="B1563" s="187"/>
      <c r="C1563" s="188"/>
      <c r="D1563" s="189"/>
      <c r="E1563" s="218"/>
      <c r="F1563" s="218"/>
      <c r="G1563" s="188"/>
    </row>
    <row r="1564" spans="1:12" x14ac:dyDescent="0.2">
      <c r="A1564" s="1762"/>
      <c r="B1564" s="1762"/>
      <c r="C1564" s="188"/>
      <c r="D1564" s="189"/>
      <c r="E1564" s="1762"/>
      <c r="F1564" s="1762"/>
      <c r="G1564" s="188"/>
    </row>
    <row r="1565" spans="1:12" x14ac:dyDescent="0.2">
      <c r="A1565" s="1762" t="s">
        <v>29</v>
      </c>
      <c r="B1565" s="1762"/>
      <c r="C1565" s="188"/>
      <c r="D1565" s="1762" t="s">
        <v>2954</v>
      </c>
      <c r="E1565" s="1762"/>
      <c r="F1565" s="1762"/>
      <c r="G1565" s="188"/>
    </row>
    <row r="1566" spans="1:12" customFormat="1" ht="15" x14ac:dyDescent="0.25"/>
    <row r="1567" spans="1:12" customFormat="1" ht="15" x14ac:dyDescent="0.25">
      <c r="A1567" s="1796" t="s">
        <v>995</v>
      </c>
      <c r="B1567" s="1796"/>
      <c r="C1567" s="1796"/>
      <c r="D1567" s="1796"/>
      <c r="E1567" s="1796"/>
      <c r="F1567" s="1796"/>
      <c r="G1567" s="1796"/>
    </row>
    <row r="1568" spans="1:12" customFormat="1" ht="15" x14ac:dyDescent="0.25">
      <c r="A1568" s="1796" t="s">
        <v>1</v>
      </c>
      <c r="B1568" s="1796"/>
      <c r="C1568" s="1796"/>
      <c r="D1568" s="1796"/>
      <c r="E1568" s="1796"/>
      <c r="F1568" s="1796"/>
      <c r="G1568" s="1796"/>
    </row>
    <row r="1569" spans="1:7" customFormat="1" ht="15" x14ac:dyDescent="0.25">
      <c r="A1569" s="1796" t="s">
        <v>1769</v>
      </c>
      <c r="B1569" s="1796"/>
      <c r="C1569" s="1796"/>
      <c r="D1569" s="1796"/>
      <c r="E1569" s="1796"/>
      <c r="F1569" s="1796"/>
      <c r="G1569" s="1796"/>
    </row>
    <row r="1570" spans="1:7" customFormat="1" ht="15" x14ac:dyDescent="0.25">
      <c r="A1570" s="374"/>
      <c r="B1570" s="375"/>
      <c r="C1570" s="376"/>
      <c r="D1570" s="376"/>
      <c r="E1570" s="377"/>
      <c r="F1570" s="377"/>
      <c r="G1570" s="377"/>
    </row>
    <row r="1571" spans="1:7" customFormat="1" ht="15" x14ac:dyDescent="0.25">
      <c r="A1571" s="377" t="s">
        <v>1483</v>
      </c>
      <c r="B1571" s="378"/>
      <c r="C1571" s="379"/>
      <c r="D1571" s="379"/>
      <c r="E1571" s="380"/>
      <c r="F1571" s="380"/>
      <c r="G1571" s="377"/>
    </row>
    <row r="1572" spans="1:7" customFormat="1" ht="24.75" x14ac:dyDescent="0.25">
      <c r="A1572" s="381" t="s">
        <v>712</v>
      </c>
      <c r="B1572" s="382" t="s">
        <v>1504</v>
      </c>
      <c r="C1572" s="379"/>
      <c r="D1572" s="379"/>
      <c r="E1572" s="380" t="s">
        <v>1484</v>
      </c>
      <c r="F1572" s="380"/>
      <c r="G1572" s="377"/>
    </row>
    <row r="1573" spans="1:7" customFormat="1" ht="75" x14ac:dyDescent="0.25">
      <c r="A1573" s="383" t="s">
        <v>749</v>
      </c>
      <c r="B1573" s="384" t="s">
        <v>2301</v>
      </c>
      <c r="C1573" s="379"/>
      <c r="D1573" s="379"/>
      <c r="E1573" s="380" t="s">
        <v>1485</v>
      </c>
      <c r="F1573" s="380"/>
      <c r="G1573" s="381"/>
    </row>
    <row r="1574" spans="1:7" customFormat="1" ht="30" x14ac:dyDescent="0.25">
      <c r="A1574" s="383" t="s">
        <v>1486</v>
      </c>
      <c r="B1574" s="384" t="s">
        <v>2302</v>
      </c>
      <c r="C1574" s="379"/>
      <c r="D1574" s="379"/>
      <c r="E1574" s="380"/>
      <c r="F1574" s="380"/>
      <c r="G1574" s="381"/>
    </row>
    <row r="1575" spans="1:7" customFormat="1" ht="15" x14ac:dyDescent="0.25">
      <c r="A1575" s="377" t="s">
        <v>1487</v>
      </c>
      <c r="B1575" s="378" t="s">
        <v>61</v>
      </c>
      <c r="C1575" s="379"/>
      <c r="D1575" s="379"/>
      <c r="E1575" s="377"/>
      <c r="F1575" s="377"/>
      <c r="G1575" s="377"/>
    </row>
    <row r="1576" spans="1:7" customFormat="1" ht="15" x14ac:dyDescent="0.25">
      <c r="A1576" s="381" t="s">
        <v>62</v>
      </c>
      <c r="B1576" s="382" t="s">
        <v>63</v>
      </c>
      <c r="C1576" s="379"/>
      <c r="D1576" s="379"/>
      <c r="E1576" s="381"/>
      <c r="F1576" s="381"/>
      <c r="G1576" s="381"/>
    </row>
    <row r="1577" spans="1:7" customFormat="1" ht="15" x14ac:dyDescent="0.25">
      <c r="A1577" s="385"/>
      <c r="B1577" s="386"/>
      <c r="C1577" s="387"/>
      <c r="D1577" s="387"/>
      <c r="E1577" s="385"/>
      <c r="F1577" s="385"/>
      <c r="G1577" s="385"/>
    </row>
    <row r="1578" spans="1:7" customFormat="1" ht="24" x14ac:dyDescent="0.25">
      <c r="A1578" s="388" t="s">
        <v>30</v>
      </c>
      <c r="B1578" s="388" t="s">
        <v>11</v>
      </c>
      <c r="C1578" s="1787" t="s">
        <v>12</v>
      </c>
      <c r="D1578" s="1788"/>
      <c r="E1578" s="152" t="s">
        <v>13</v>
      </c>
      <c r="F1578" s="389" t="s">
        <v>14</v>
      </c>
      <c r="G1578" s="390" t="s">
        <v>266</v>
      </c>
    </row>
    <row r="1579" spans="1:7" customFormat="1" ht="15" x14ac:dyDescent="0.25">
      <c r="A1579" s="197">
        <v>1</v>
      </c>
      <c r="B1579" s="198">
        <v>2</v>
      </c>
      <c r="C1579" s="1773">
        <v>3</v>
      </c>
      <c r="D1579" s="1774"/>
      <c r="E1579" s="2">
        <v>4</v>
      </c>
      <c r="F1579" s="205">
        <v>5</v>
      </c>
      <c r="G1579" s="202">
        <v>7</v>
      </c>
    </row>
    <row r="1580" spans="1:7" customFormat="1" ht="15" x14ac:dyDescent="0.25">
      <c r="A1580" s="391" t="s">
        <v>2294</v>
      </c>
      <c r="B1580" s="153" t="s">
        <v>1505</v>
      </c>
      <c r="C1580" s="154"/>
      <c r="D1580" s="155"/>
      <c r="E1580" s="156"/>
      <c r="F1580" s="157"/>
      <c r="G1580" s="202"/>
    </row>
    <row r="1581" spans="1:7" customFormat="1" ht="15" x14ac:dyDescent="0.25">
      <c r="A1581" s="391" t="s">
        <v>2295</v>
      </c>
      <c r="B1581" s="153" t="s">
        <v>2246</v>
      </c>
      <c r="C1581" s="154"/>
      <c r="D1581" s="155"/>
      <c r="E1581" s="156"/>
      <c r="F1581" s="157"/>
      <c r="G1581" s="202"/>
    </row>
    <row r="1582" spans="1:7" customFormat="1" ht="24" x14ac:dyDescent="0.25">
      <c r="A1582" s="391" t="s">
        <v>2296</v>
      </c>
      <c r="B1582" s="153" t="s">
        <v>1499</v>
      </c>
      <c r="C1582" s="392"/>
      <c r="D1582" s="155"/>
      <c r="E1582" s="156"/>
      <c r="F1582" s="157"/>
      <c r="G1582" s="202"/>
    </row>
    <row r="1583" spans="1:7" customFormat="1" ht="15" x14ac:dyDescent="0.25">
      <c r="A1583" s="257"/>
      <c r="B1583" s="158" t="s">
        <v>188</v>
      </c>
      <c r="C1583" s="392">
        <v>1</v>
      </c>
      <c r="D1583" s="155" t="s">
        <v>473</v>
      </c>
      <c r="E1583" s="156">
        <v>300000</v>
      </c>
      <c r="F1583" s="157">
        <f>E1583*C1583</f>
        <v>300000</v>
      </c>
      <c r="G1583" s="202"/>
    </row>
    <row r="1584" spans="1:7" customFormat="1" ht="15.75" thickBot="1" x14ac:dyDescent="0.3">
      <c r="A1584" s="207"/>
      <c r="B1584" s="159" t="s">
        <v>352</v>
      </c>
      <c r="C1584" s="393">
        <v>2</v>
      </c>
      <c r="D1584" s="160" t="s">
        <v>473</v>
      </c>
      <c r="E1584" s="161">
        <v>200000</v>
      </c>
      <c r="F1584" s="162">
        <f>E1584*C1584</f>
        <v>400000</v>
      </c>
      <c r="G1584" s="202"/>
    </row>
    <row r="1585" spans="1:12" customFormat="1" ht="15.75" thickBot="1" x14ac:dyDescent="0.3">
      <c r="A1585" s="207"/>
      <c r="B1585" s="1781" t="s">
        <v>548</v>
      </c>
      <c r="C1585" s="1782"/>
      <c r="D1585" s="1782"/>
      <c r="E1585" s="1783"/>
      <c r="F1585" s="163">
        <f>SUM(F1583:F1584)</f>
        <v>700000</v>
      </c>
      <c r="G1585" s="202"/>
    </row>
    <row r="1586" spans="1:12" customFormat="1" ht="15" x14ac:dyDescent="0.25">
      <c r="A1586" s="391" t="s">
        <v>2297</v>
      </c>
      <c r="B1586" s="394" t="s">
        <v>1488</v>
      </c>
      <c r="C1586" s="210"/>
      <c r="D1586" s="211"/>
      <c r="E1586" s="207"/>
      <c r="F1586" s="164"/>
      <c r="G1586" s="202"/>
    </row>
    <row r="1587" spans="1:12" customFormat="1" ht="15" x14ac:dyDescent="0.25">
      <c r="A1587" s="391"/>
      <c r="B1587" s="395" t="s">
        <v>1489</v>
      </c>
      <c r="C1587" s="205">
        <v>15</v>
      </c>
      <c r="D1587" s="206" t="s">
        <v>419</v>
      </c>
      <c r="E1587" s="175">
        <v>150000</v>
      </c>
      <c r="F1587" s="157">
        <f>E1587*C1587</f>
        <v>2250000</v>
      </c>
      <c r="G1587" s="202"/>
    </row>
    <row r="1588" spans="1:12" customFormat="1" ht="15.75" thickBot="1" x14ac:dyDescent="0.3">
      <c r="A1588" s="391"/>
      <c r="B1588" s="396" t="s">
        <v>1490</v>
      </c>
      <c r="C1588" s="397">
        <f>C1587*2</f>
        <v>30</v>
      </c>
      <c r="D1588" s="236" t="s">
        <v>419</v>
      </c>
      <c r="E1588" s="174">
        <v>130000</v>
      </c>
      <c r="F1588" s="162">
        <f>E1588*C1588</f>
        <v>3900000</v>
      </c>
      <c r="G1588" s="202"/>
    </row>
    <row r="1589" spans="1:12" customFormat="1" ht="15.75" thickBot="1" x14ac:dyDescent="0.3">
      <c r="A1589" s="398"/>
      <c r="B1589" s="1784" t="s">
        <v>548</v>
      </c>
      <c r="C1589" s="1785"/>
      <c r="D1589" s="1785"/>
      <c r="E1589" s="1786"/>
      <c r="F1589" s="163">
        <f>SUM(F1587:F1588)</f>
        <v>6150000</v>
      </c>
      <c r="G1589" s="399"/>
    </row>
    <row r="1590" spans="1:12" customFormat="1" ht="15" x14ac:dyDescent="0.25">
      <c r="A1590" s="391" t="s">
        <v>2298</v>
      </c>
      <c r="B1590" s="360" t="s">
        <v>1491</v>
      </c>
      <c r="C1590" s="210"/>
      <c r="D1590" s="211"/>
      <c r="E1590" s="207"/>
      <c r="F1590" s="164"/>
      <c r="G1590" s="202"/>
    </row>
    <row r="1591" spans="1:12" customFormat="1" ht="15" x14ac:dyDescent="0.25">
      <c r="A1591" s="207"/>
      <c r="B1591" s="213" t="s">
        <v>1502</v>
      </c>
      <c r="C1591" s="205">
        <v>132</v>
      </c>
      <c r="D1591" s="206" t="s">
        <v>1495</v>
      </c>
      <c r="E1591" s="215">
        <v>130000</v>
      </c>
      <c r="F1591" s="157">
        <f t="shared" ref="F1591:F1596" si="25">E1591*C1591</f>
        <v>17160000</v>
      </c>
      <c r="G1591" s="202"/>
    </row>
    <row r="1592" spans="1:12" customFormat="1" ht="15" x14ac:dyDescent="0.25">
      <c r="A1592" s="207"/>
      <c r="B1592" s="213" t="s">
        <v>1501</v>
      </c>
      <c r="C1592" s="205">
        <v>14</v>
      </c>
      <c r="D1592" s="206" t="s">
        <v>843</v>
      </c>
      <c r="E1592" s="215">
        <v>380000</v>
      </c>
      <c r="F1592" s="157">
        <f t="shared" si="25"/>
        <v>5320000</v>
      </c>
      <c r="G1592" s="202"/>
    </row>
    <row r="1593" spans="1:12" customFormat="1" ht="15" x14ac:dyDescent="0.25">
      <c r="A1593" s="207"/>
      <c r="B1593" s="158" t="s">
        <v>1493</v>
      </c>
      <c r="C1593" s="392">
        <v>105</v>
      </c>
      <c r="D1593" s="155" t="s">
        <v>159</v>
      </c>
      <c r="E1593" s="156">
        <v>3000</v>
      </c>
      <c r="F1593" s="157">
        <f t="shared" si="25"/>
        <v>315000</v>
      </c>
      <c r="G1593" s="202"/>
    </row>
    <row r="1594" spans="1:12" customFormat="1" ht="15" x14ac:dyDescent="0.25">
      <c r="A1594" s="391"/>
      <c r="B1594" s="158" t="s">
        <v>1503</v>
      </c>
      <c r="C1594" s="392">
        <v>101</v>
      </c>
      <c r="D1594" s="155" t="s">
        <v>110</v>
      </c>
      <c r="E1594" s="156">
        <v>75000</v>
      </c>
      <c r="F1594" s="157">
        <f t="shared" si="25"/>
        <v>7575000</v>
      </c>
      <c r="G1594" s="202"/>
    </row>
    <row r="1595" spans="1:12" customFormat="1" ht="15" x14ac:dyDescent="0.25">
      <c r="A1595" s="400"/>
      <c r="B1595" s="159" t="s">
        <v>1496</v>
      </c>
      <c r="C1595" s="393">
        <v>1</v>
      </c>
      <c r="D1595" s="160" t="s">
        <v>110</v>
      </c>
      <c r="E1595" s="161">
        <v>250000</v>
      </c>
      <c r="F1595" s="162">
        <f t="shared" si="25"/>
        <v>250000</v>
      </c>
      <c r="G1595" s="202"/>
    </row>
    <row r="1596" spans="1:12" customFormat="1" ht="15.75" thickBot="1" x14ac:dyDescent="0.3">
      <c r="A1596" s="257"/>
      <c r="B1596" s="159" t="s">
        <v>1497</v>
      </c>
      <c r="C1596" s="393">
        <v>1</v>
      </c>
      <c r="D1596" s="160" t="s">
        <v>110</v>
      </c>
      <c r="E1596" s="161">
        <v>500000</v>
      </c>
      <c r="F1596" s="162">
        <f t="shared" si="25"/>
        <v>500000</v>
      </c>
      <c r="G1596" s="202"/>
    </row>
    <row r="1597" spans="1:12" customFormat="1" ht="15.75" thickBot="1" x14ac:dyDescent="0.3">
      <c r="A1597" s="210"/>
      <c r="B1597" s="1781" t="s">
        <v>548</v>
      </c>
      <c r="C1597" s="1782"/>
      <c r="D1597" s="1782"/>
      <c r="E1597" s="1783"/>
      <c r="F1597" s="163">
        <f>SUM(F1591:F1596)</f>
        <v>31120000</v>
      </c>
      <c r="G1597" s="399"/>
    </row>
    <row r="1598" spans="1:12" customFormat="1" ht="15.75" thickBot="1" x14ac:dyDescent="0.3">
      <c r="A1598" s="210"/>
      <c r="B1598" s="1781" t="s">
        <v>26</v>
      </c>
      <c r="C1598" s="1782"/>
      <c r="D1598" s="1782"/>
      <c r="E1598" s="1783"/>
      <c r="F1598" s="163">
        <f>F1597+F1589+F1585</f>
        <v>37970000</v>
      </c>
      <c r="G1598" s="399" t="s">
        <v>1845</v>
      </c>
      <c r="L1598" s="172">
        <f>F1598</f>
        <v>37970000</v>
      </c>
    </row>
    <row r="1599" spans="1:12" x14ac:dyDescent="0.2">
      <c r="A1599" s="1762" t="s">
        <v>549</v>
      </c>
      <c r="B1599" s="1762"/>
      <c r="C1599" s="188" t="s">
        <v>27</v>
      </c>
      <c r="D1599" s="1763" t="s">
        <v>1429</v>
      </c>
      <c r="E1599" s="1763"/>
      <c r="F1599" s="1763"/>
      <c r="G1599" s="188"/>
    </row>
    <row r="1600" spans="1:12" x14ac:dyDescent="0.2">
      <c r="A1600" s="1762" t="s">
        <v>28</v>
      </c>
      <c r="B1600" s="1762"/>
      <c r="C1600" s="188"/>
      <c r="D1600" s="1764" t="s">
        <v>2833</v>
      </c>
      <c r="E1600" s="1764"/>
      <c r="F1600" s="1764"/>
      <c r="G1600" s="188"/>
    </row>
    <row r="1601" spans="1:12" x14ac:dyDescent="0.2">
      <c r="A1601" s="186"/>
      <c r="B1601" s="187"/>
      <c r="C1601" s="188"/>
      <c r="D1601" s="189"/>
      <c r="E1601" s="218"/>
      <c r="F1601" s="218"/>
      <c r="G1601" s="188"/>
    </row>
    <row r="1602" spans="1:12" x14ac:dyDescent="0.2">
      <c r="A1602" s="186"/>
      <c r="B1602" s="187"/>
      <c r="C1602" s="188"/>
      <c r="D1602" s="189"/>
      <c r="E1602" s="218"/>
      <c r="F1602" s="218"/>
      <c r="G1602" s="188"/>
    </row>
    <row r="1603" spans="1:12" x14ac:dyDescent="0.2">
      <c r="A1603" s="1762"/>
      <c r="B1603" s="1762"/>
      <c r="C1603" s="188"/>
      <c r="D1603" s="189"/>
      <c r="E1603" s="1762"/>
      <c r="F1603" s="1762"/>
      <c r="G1603" s="188"/>
    </row>
    <row r="1604" spans="1:12" x14ac:dyDescent="0.2">
      <c r="A1604" s="1762" t="s">
        <v>29</v>
      </c>
      <c r="B1604" s="1762"/>
      <c r="C1604" s="188"/>
      <c r="D1604" s="1762" t="s">
        <v>2954</v>
      </c>
      <c r="E1604" s="1762"/>
      <c r="F1604" s="1762"/>
      <c r="G1604" s="188"/>
    </row>
    <row r="1605" spans="1:12" customFormat="1" ht="15" x14ac:dyDescent="0.25">
      <c r="A1605" s="189"/>
      <c r="B1605" s="609"/>
      <c r="C1605" s="609"/>
      <c r="D1605" s="609"/>
      <c r="E1605" s="609"/>
      <c r="F1605" s="607"/>
      <c r="G1605" s="184"/>
      <c r="L1605" s="172"/>
    </row>
    <row r="1606" spans="1:12" customFormat="1" ht="15" x14ac:dyDescent="0.25">
      <c r="A1606" s="189"/>
      <c r="B1606" s="609"/>
      <c r="C1606" s="609"/>
      <c r="D1606" s="609"/>
      <c r="E1606" s="609"/>
      <c r="F1606" s="607"/>
      <c r="G1606" s="184"/>
      <c r="L1606" s="172"/>
    </row>
    <row r="1607" spans="1:12" customFormat="1" ht="15" x14ac:dyDescent="0.25">
      <c r="A1607" s="1926" t="s">
        <v>0</v>
      </c>
      <c r="B1607" s="1926"/>
      <c r="C1607" s="1926"/>
      <c r="D1607" s="1926"/>
      <c r="E1607" s="1926"/>
      <c r="F1607" s="1926"/>
      <c r="G1607" s="1926"/>
      <c r="L1607" s="172"/>
    </row>
    <row r="1608" spans="1:12" customFormat="1" ht="15" x14ac:dyDescent="0.25">
      <c r="A1608" s="1926" t="s">
        <v>1</v>
      </c>
      <c r="B1608" s="1926"/>
      <c r="C1608" s="1926"/>
      <c r="D1608" s="1926"/>
      <c r="E1608" s="1926"/>
      <c r="F1608" s="1926"/>
      <c r="G1608" s="1926"/>
      <c r="L1608" s="172"/>
    </row>
    <row r="1609" spans="1:12" customFormat="1" ht="15" x14ac:dyDescent="0.25">
      <c r="A1609" s="1926" t="s">
        <v>1769</v>
      </c>
      <c r="B1609" s="1926"/>
      <c r="C1609" s="1926"/>
      <c r="D1609" s="1926"/>
      <c r="E1609" s="1926"/>
      <c r="F1609" s="1926"/>
      <c r="G1609" s="1926"/>
      <c r="L1609" s="172"/>
    </row>
    <row r="1610" spans="1:12" customFormat="1" ht="15" x14ac:dyDescent="0.25">
      <c r="A1610" s="223"/>
      <c r="B1610" s="223"/>
      <c r="C1610" s="1659"/>
      <c r="D1610" s="1659"/>
      <c r="E1610" s="223"/>
      <c r="F1610" s="223"/>
      <c r="G1610" s="665"/>
      <c r="L1610" s="172"/>
    </row>
    <row r="1611" spans="1:12" customFormat="1" ht="15" x14ac:dyDescent="0.25">
      <c r="A1611" s="898" t="s">
        <v>1083</v>
      </c>
      <c r="B1611" s="898" t="s">
        <v>2631</v>
      </c>
      <c r="C1611" s="1659"/>
      <c r="D1611" s="1659"/>
      <c r="E1611" s="1660"/>
      <c r="F1611" s="1660"/>
      <c r="G1611" s="1661"/>
      <c r="L1611" s="172"/>
    </row>
    <row r="1612" spans="1:12" customFormat="1" ht="15" x14ac:dyDescent="0.25">
      <c r="A1612" s="898" t="s">
        <v>1228</v>
      </c>
      <c r="B1612" s="898" t="s">
        <v>2945</v>
      </c>
      <c r="C1612" s="1659"/>
      <c r="D1612" s="1659"/>
      <c r="E1612" s="299" t="s">
        <v>6</v>
      </c>
      <c r="F1612" s="299" t="s">
        <v>2946</v>
      </c>
      <c r="G1612" s="1662"/>
      <c r="L1612" s="172"/>
    </row>
    <row r="1613" spans="1:12" customFormat="1" ht="120" x14ac:dyDescent="0.25">
      <c r="A1613" s="1663" t="s">
        <v>754</v>
      </c>
      <c r="B1613" s="1664" t="s">
        <v>2947</v>
      </c>
      <c r="C1613" s="1665"/>
      <c r="D1613" s="1665"/>
      <c r="E1613" s="1664" t="s">
        <v>329</v>
      </c>
      <c r="F1613" s="1663" t="s">
        <v>63</v>
      </c>
      <c r="G1613" s="1666"/>
      <c r="L1613" s="172"/>
    </row>
    <row r="1614" spans="1:12" customFormat="1" ht="15" x14ac:dyDescent="0.25">
      <c r="A1614" s="898" t="s">
        <v>545</v>
      </c>
      <c r="B1614" s="898" t="s">
        <v>2948</v>
      </c>
      <c r="C1614" s="1659"/>
      <c r="D1614" s="1659"/>
      <c r="E1614" s="1659">
        <v>261</v>
      </c>
      <c r="F1614" s="1659"/>
      <c r="G1614" s="1661"/>
      <c r="L1614" s="172"/>
    </row>
    <row r="1615" spans="1:12" customFormat="1" ht="15" x14ac:dyDescent="0.25">
      <c r="A1615" s="223" t="s">
        <v>422</v>
      </c>
      <c r="B1615" s="223" t="s">
        <v>546</v>
      </c>
      <c r="C1615" s="1659"/>
      <c r="D1615" s="1659"/>
      <c r="E1615" s="223"/>
      <c r="F1615" s="223"/>
      <c r="G1615" s="665"/>
      <c r="L1615" s="172"/>
    </row>
    <row r="1616" spans="1:12" customFormat="1" ht="15" x14ac:dyDescent="0.25">
      <c r="A1616" s="1927" t="s">
        <v>503</v>
      </c>
      <c r="B1616" s="1927"/>
      <c r="C1616" s="1659"/>
      <c r="D1616" s="1659"/>
      <c r="E1616" s="1660"/>
      <c r="F1616" s="223"/>
      <c r="G1616" s="665"/>
      <c r="L1616" s="172"/>
    </row>
    <row r="1617" spans="1:12" customFormat="1" ht="45" x14ac:dyDescent="0.25">
      <c r="A1617" s="1667" t="s">
        <v>1039</v>
      </c>
      <c r="B1617" s="1667" t="s">
        <v>11</v>
      </c>
      <c r="C1617" s="1928" t="s">
        <v>12</v>
      </c>
      <c r="D1617" s="1928"/>
      <c r="E1617" s="1668" t="s">
        <v>13</v>
      </c>
      <c r="F1617" s="878" t="s">
        <v>14</v>
      </c>
      <c r="G1617" s="878" t="s">
        <v>34</v>
      </c>
      <c r="L1617" s="172"/>
    </row>
    <row r="1618" spans="1:12" customFormat="1" ht="15" x14ac:dyDescent="0.25">
      <c r="A1618" s="314">
        <v>1</v>
      </c>
      <c r="B1618" s="314">
        <v>2</v>
      </c>
      <c r="C1618" s="1930">
        <v>3</v>
      </c>
      <c r="D1618" s="1931"/>
      <c r="E1618" s="1669">
        <v>4</v>
      </c>
      <c r="F1618" s="854">
        <v>5</v>
      </c>
      <c r="G1618" s="833">
        <v>6</v>
      </c>
      <c r="L1618" s="172"/>
    </row>
    <row r="1619" spans="1:12" customFormat="1" ht="15" x14ac:dyDescent="0.25">
      <c r="A1619" s="1670" t="s">
        <v>2949</v>
      </c>
      <c r="B1619" s="1671" t="s">
        <v>424</v>
      </c>
      <c r="C1619" s="1655"/>
      <c r="D1619" s="1656"/>
      <c r="E1619" s="1672"/>
      <c r="F1619" s="1673"/>
      <c r="G1619" s="833"/>
      <c r="L1619" s="172"/>
    </row>
    <row r="1620" spans="1:12" customFormat="1" ht="15" x14ac:dyDescent="0.25">
      <c r="A1620" s="1670" t="s">
        <v>2950</v>
      </c>
      <c r="B1620" s="1671" t="s">
        <v>2719</v>
      </c>
      <c r="C1620" s="1655"/>
      <c r="D1620" s="1656"/>
      <c r="E1620" s="1672"/>
      <c r="F1620" s="1673"/>
      <c r="G1620" s="833"/>
      <c r="L1620" s="172"/>
    </row>
    <row r="1621" spans="1:12" customFormat="1" ht="15" x14ac:dyDescent="0.25">
      <c r="A1621" s="1670" t="s">
        <v>2951</v>
      </c>
      <c r="B1621" s="1671" t="s">
        <v>2952</v>
      </c>
      <c r="C1621" s="1674"/>
      <c r="D1621" s="1675"/>
      <c r="E1621" s="1672"/>
      <c r="F1621" s="1673"/>
      <c r="G1621" s="1676"/>
      <c r="L1621" s="172"/>
    </row>
    <row r="1622" spans="1:12" customFormat="1" ht="45" x14ac:dyDescent="0.25">
      <c r="A1622" s="1677"/>
      <c r="B1622" s="1678" t="s">
        <v>2953</v>
      </c>
      <c r="C1622" s="1679">
        <v>210</v>
      </c>
      <c r="D1622" s="1658" t="s">
        <v>419</v>
      </c>
      <c r="E1622" s="1680">
        <v>55000</v>
      </c>
      <c r="F1622" s="1681">
        <v>11550000</v>
      </c>
      <c r="G1622" s="1682"/>
      <c r="L1622" s="172"/>
    </row>
    <row r="1623" spans="1:12" customFormat="1" ht="15.75" thickBot="1" x14ac:dyDescent="0.3">
      <c r="A1623" s="1683"/>
      <c r="B1623" s="1684"/>
      <c r="C1623" s="1685"/>
      <c r="D1623" s="1686"/>
      <c r="E1623" s="1687"/>
      <c r="F1623" s="1688"/>
      <c r="G1623" s="1689"/>
      <c r="L1623" s="172"/>
    </row>
    <row r="1624" spans="1:12" customFormat="1" ht="15.75" thickBot="1" x14ac:dyDescent="0.3">
      <c r="A1624" s="1683"/>
      <c r="B1624" s="1690"/>
      <c r="C1624" s="1934" t="s">
        <v>847</v>
      </c>
      <c r="D1624" s="1935"/>
      <c r="E1624" s="1936"/>
      <c r="F1624" s="1691">
        <v>11550000</v>
      </c>
      <c r="G1624" s="1692"/>
      <c r="L1624" s="172"/>
    </row>
    <row r="1625" spans="1:12" customFormat="1" ht="15" x14ac:dyDescent="0.25">
      <c r="A1625" s="854"/>
      <c r="B1625" s="1680"/>
      <c r="C1625" s="1674"/>
      <c r="D1625" s="1675"/>
      <c r="E1625" s="1693"/>
      <c r="F1625" s="1694"/>
      <c r="G1625" s="346"/>
      <c r="L1625" s="172"/>
    </row>
    <row r="1626" spans="1:12" customFormat="1" ht="15" x14ac:dyDescent="0.25">
      <c r="A1626" s="854"/>
      <c r="B1626" s="1929" t="s">
        <v>26</v>
      </c>
      <c r="C1626" s="1929"/>
      <c r="D1626" s="1929"/>
      <c r="E1626" s="1929"/>
      <c r="F1626" s="1695">
        <v>11550000</v>
      </c>
      <c r="G1626" s="346" t="s">
        <v>1711</v>
      </c>
      <c r="J1626" s="32">
        <f>F1626</f>
        <v>11550000</v>
      </c>
      <c r="L1626" s="172"/>
    </row>
    <row r="1627" spans="1:12" customFormat="1" ht="15" x14ac:dyDescent="0.25">
      <c r="A1627" s="1762" t="s">
        <v>549</v>
      </c>
      <c r="B1627" s="1762"/>
      <c r="C1627" s="188" t="s">
        <v>27</v>
      </c>
      <c r="D1627" s="1763" t="s">
        <v>1426</v>
      </c>
      <c r="E1627" s="1763"/>
      <c r="F1627" s="1763"/>
      <c r="G1627" s="1041"/>
      <c r="L1627" s="172"/>
    </row>
    <row r="1628" spans="1:12" customFormat="1" ht="15" x14ac:dyDescent="0.25">
      <c r="A1628" s="1762" t="s">
        <v>28</v>
      </c>
      <c r="B1628" s="1762"/>
      <c r="C1628" s="188"/>
      <c r="D1628" s="1764" t="s">
        <v>2833</v>
      </c>
      <c r="E1628" s="1764"/>
      <c r="F1628" s="1764"/>
      <c r="G1628" s="1041"/>
      <c r="L1628" s="172"/>
    </row>
    <row r="1629" spans="1:12" customFormat="1" ht="15" x14ac:dyDescent="0.25">
      <c r="A1629" s="186"/>
      <c r="B1629" s="187"/>
      <c r="C1629" s="188"/>
      <c r="D1629" s="189"/>
      <c r="E1629" s="218"/>
      <c r="F1629" s="218"/>
      <c r="G1629" s="1041"/>
      <c r="L1629" s="172"/>
    </row>
    <row r="1630" spans="1:12" customFormat="1" ht="15" x14ac:dyDescent="0.25">
      <c r="A1630" s="186"/>
      <c r="B1630" s="187"/>
      <c r="C1630" s="188"/>
      <c r="D1630" s="189"/>
      <c r="E1630" s="218"/>
      <c r="F1630" s="218"/>
      <c r="G1630" s="1041"/>
      <c r="L1630" s="172"/>
    </row>
    <row r="1631" spans="1:12" customFormat="1" ht="15" x14ac:dyDescent="0.25">
      <c r="A1631" s="1762"/>
      <c r="B1631" s="1762"/>
      <c r="C1631" s="188"/>
      <c r="D1631" s="189"/>
      <c r="E1631" s="1762"/>
      <c r="F1631" s="1762"/>
      <c r="G1631" s="1041"/>
      <c r="L1631" s="172"/>
    </row>
    <row r="1632" spans="1:12" customFormat="1" ht="15" x14ac:dyDescent="0.25">
      <c r="A1632" s="1762" t="s">
        <v>29</v>
      </c>
      <c r="B1632" s="1762"/>
      <c r="C1632" s="188"/>
      <c r="D1632" s="1762" t="s">
        <v>2954</v>
      </c>
      <c r="E1632" s="1762"/>
      <c r="F1632" s="1762"/>
      <c r="G1632" s="1041"/>
      <c r="L1632" s="172"/>
    </row>
    <row r="1633" spans="1:12" customFormat="1" ht="15" x14ac:dyDescent="0.25">
      <c r="A1633" s="189"/>
      <c r="B1633" s="609"/>
      <c r="C1633" s="609"/>
      <c r="D1633" s="609"/>
      <c r="E1633" s="609"/>
      <c r="F1633" s="607"/>
      <c r="G1633" s="184"/>
      <c r="L1633" s="172"/>
    </row>
    <row r="1634" spans="1:12" customFormat="1" ht="15" x14ac:dyDescent="0.25"/>
    <row r="1635" spans="1:12" customFormat="1" ht="15" x14ac:dyDescent="0.25">
      <c r="A1635" s="1796" t="s">
        <v>1506</v>
      </c>
      <c r="B1635" s="1796"/>
      <c r="C1635" s="1796"/>
      <c r="D1635" s="1796"/>
      <c r="E1635" s="1796"/>
      <c r="F1635" s="1796"/>
      <c r="G1635" s="1796"/>
    </row>
    <row r="1636" spans="1:12" customFormat="1" ht="15" x14ac:dyDescent="0.25">
      <c r="A1636" s="1796" t="s">
        <v>1</v>
      </c>
      <c r="B1636" s="1796"/>
      <c r="C1636" s="1796"/>
      <c r="D1636" s="1796"/>
      <c r="E1636" s="1796"/>
      <c r="F1636" s="1796"/>
      <c r="G1636" s="1796"/>
    </row>
    <row r="1637" spans="1:12" customFormat="1" ht="15" x14ac:dyDescent="0.25">
      <c r="A1637" s="1796" t="s">
        <v>1769</v>
      </c>
      <c r="B1637" s="1796"/>
      <c r="C1637" s="1796"/>
      <c r="D1637" s="1796"/>
      <c r="E1637" s="1796"/>
      <c r="F1637" s="1796"/>
      <c r="G1637" s="1796"/>
    </row>
    <row r="1638" spans="1:12" customFormat="1" ht="15" x14ac:dyDescent="0.25">
      <c r="A1638" s="374"/>
      <c r="B1638" s="375"/>
      <c r="C1638" s="376"/>
      <c r="D1638" s="376"/>
      <c r="E1638" s="377"/>
      <c r="F1638" s="377"/>
      <c r="G1638" s="377"/>
    </row>
    <row r="1639" spans="1:12" customFormat="1" ht="15" x14ac:dyDescent="0.25">
      <c r="A1639" s="377" t="s">
        <v>1483</v>
      </c>
      <c r="B1639" s="378"/>
      <c r="C1639" s="379"/>
      <c r="D1639" s="379"/>
      <c r="E1639" s="380"/>
      <c r="F1639" s="380"/>
      <c r="G1639" s="377"/>
    </row>
    <row r="1640" spans="1:12" customFormat="1" ht="24.75" x14ac:dyDescent="0.25">
      <c r="A1640" s="381" t="s">
        <v>712</v>
      </c>
      <c r="B1640" s="382" t="s">
        <v>1504</v>
      </c>
      <c r="C1640" s="379"/>
      <c r="D1640" s="379"/>
      <c r="E1640" s="380" t="s">
        <v>1484</v>
      </c>
      <c r="F1640" s="380"/>
      <c r="G1640" s="377"/>
    </row>
    <row r="1641" spans="1:12" customFormat="1" ht="90" x14ac:dyDescent="0.25">
      <c r="A1641" s="383" t="s">
        <v>749</v>
      </c>
      <c r="B1641" s="384" t="s">
        <v>2303</v>
      </c>
      <c r="C1641" s="379"/>
      <c r="D1641" s="379"/>
      <c r="E1641" s="380" t="s">
        <v>1485</v>
      </c>
      <c r="F1641" s="380"/>
      <c r="G1641" s="381"/>
    </row>
    <row r="1642" spans="1:12" customFormat="1" ht="15" x14ac:dyDescent="0.25">
      <c r="A1642" s="383" t="s">
        <v>1486</v>
      </c>
      <c r="B1642" s="384" t="s">
        <v>2304</v>
      </c>
      <c r="C1642" s="379"/>
      <c r="D1642" s="379">
        <f>84.4/43</f>
        <v>1.9627906976744187</v>
      </c>
      <c r="E1642" s="380"/>
      <c r="F1642" s="380"/>
      <c r="G1642" s="381"/>
    </row>
    <row r="1643" spans="1:12" customFormat="1" ht="15" x14ac:dyDescent="0.25">
      <c r="A1643" s="377" t="s">
        <v>1487</v>
      </c>
      <c r="B1643" s="378" t="s">
        <v>61</v>
      </c>
      <c r="C1643" s="379"/>
      <c r="D1643" s="379"/>
      <c r="E1643" s="377"/>
      <c r="F1643" s="377"/>
      <c r="G1643" s="377"/>
    </row>
    <row r="1644" spans="1:12" customFormat="1" ht="15" x14ac:dyDescent="0.25">
      <c r="A1644" s="381" t="s">
        <v>62</v>
      </c>
      <c r="B1644" s="382" t="s">
        <v>63</v>
      </c>
      <c r="C1644" s="379"/>
      <c r="D1644" s="379"/>
      <c r="E1644" s="381"/>
      <c r="F1644" s="381"/>
      <c r="G1644" s="381"/>
    </row>
    <row r="1645" spans="1:12" customFormat="1" ht="15" x14ac:dyDescent="0.25">
      <c r="A1645" s="385"/>
      <c r="B1645" s="386"/>
      <c r="C1645" s="387"/>
      <c r="D1645" s="387"/>
      <c r="E1645" s="385"/>
      <c r="F1645" s="385"/>
      <c r="G1645" s="385"/>
    </row>
    <row r="1646" spans="1:12" customFormat="1" ht="24" x14ac:dyDescent="0.25">
      <c r="A1646" s="388" t="s">
        <v>30</v>
      </c>
      <c r="B1646" s="388" t="s">
        <v>11</v>
      </c>
      <c r="C1646" s="1787" t="s">
        <v>12</v>
      </c>
      <c r="D1646" s="1788"/>
      <c r="E1646" s="152" t="s">
        <v>13</v>
      </c>
      <c r="F1646" s="389" t="s">
        <v>14</v>
      </c>
      <c r="G1646" s="390" t="s">
        <v>266</v>
      </c>
    </row>
    <row r="1647" spans="1:12" customFormat="1" ht="15" x14ac:dyDescent="0.25">
      <c r="A1647" s="197">
        <v>1</v>
      </c>
      <c r="B1647" s="198">
        <v>2</v>
      </c>
      <c r="C1647" s="1773">
        <v>3</v>
      </c>
      <c r="D1647" s="1774"/>
      <c r="E1647" s="2">
        <v>4</v>
      </c>
      <c r="F1647" s="205">
        <v>5</v>
      </c>
      <c r="G1647" s="202">
        <v>7</v>
      </c>
    </row>
    <row r="1648" spans="1:12" customFormat="1" ht="15" x14ac:dyDescent="0.25">
      <c r="A1648" s="391" t="s">
        <v>2244</v>
      </c>
      <c r="B1648" s="153" t="s">
        <v>1505</v>
      </c>
      <c r="C1648" s="154"/>
      <c r="D1648" s="155"/>
      <c r="E1648" s="156"/>
      <c r="F1648" s="157"/>
      <c r="G1648" s="202"/>
    </row>
    <row r="1649" spans="1:12" customFormat="1" ht="15" x14ac:dyDescent="0.25">
      <c r="A1649" s="391" t="s">
        <v>2245</v>
      </c>
      <c r="B1649" s="153" t="s">
        <v>2246</v>
      </c>
      <c r="C1649" s="154"/>
      <c r="D1649" s="155"/>
      <c r="E1649" s="156"/>
      <c r="F1649" s="157"/>
      <c r="G1649" s="202"/>
    </row>
    <row r="1650" spans="1:12" customFormat="1" ht="24" x14ac:dyDescent="0.25">
      <c r="A1650" s="391" t="s">
        <v>2247</v>
      </c>
      <c r="B1650" s="153" t="s">
        <v>1499</v>
      </c>
      <c r="C1650" s="392"/>
      <c r="D1650" s="155"/>
      <c r="E1650" s="156"/>
      <c r="F1650" s="157"/>
      <c r="G1650" s="202"/>
    </row>
    <row r="1651" spans="1:12" customFormat="1" ht="15.75" thickBot="1" x14ac:dyDescent="0.3">
      <c r="A1651" s="257"/>
      <c r="B1651" s="158" t="s">
        <v>2248</v>
      </c>
      <c r="C1651" s="392">
        <v>1</v>
      </c>
      <c r="D1651" s="155" t="s">
        <v>222</v>
      </c>
      <c r="E1651" s="156">
        <v>68960</v>
      </c>
      <c r="F1651" s="157">
        <f>E1651*C1651</f>
        <v>68960</v>
      </c>
      <c r="G1651" s="202"/>
    </row>
    <row r="1652" spans="1:12" customFormat="1" ht="15.75" thickBot="1" x14ac:dyDescent="0.3">
      <c r="A1652" s="207"/>
      <c r="B1652" s="1781" t="s">
        <v>548</v>
      </c>
      <c r="C1652" s="1782"/>
      <c r="D1652" s="1782"/>
      <c r="E1652" s="1783"/>
      <c r="F1652" s="163">
        <f>SUM(F1651:F1651)</f>
        <v>68960</v>
      </c>
      <c r="G1652" s="202"/>
    </row>
    <row r="1653" spans="1:12" customFormat="1" ht="15" x14ac:dyDescent="0.25">
      <c r="A1653" s="391" t="s">
        <v>2249</v>
      </c>
      <c r="B1653" s="394" t="s">
        <v>1488</v>
      </c>
      <c r="C1653" s="210"/>
      <c r="D1653" s="211"/>
      <c r="E1653" s="207"/>
      <c r="F1653" s="164"/>
      <c r="G1653" s="202"/>
    </row>
    <row r="1654" spans="1:12" customFormat="1" ht="15" x14ac:dyDescent="0.25">
      <c r="A1654" s="391"/>
      <c r="B1654" s="395" t="s">
        <v>1489</v>
      </c>
      <c r="C1654" s="205">
        <v>1</v>
      </c>
      <c r="D1654" s="206" t="s">
        <v>419</v>
      </c>
      <c r="E1654" s="175">
        <v>150000</v>
      </c>
      <c r="F1654" s="157">
        <f>E1654*C1654</f>
        <v>150000</v>
      </c>
      <c r="G1654" s="202"/>
    </row>
    <row r="1655" spans="1:12" customFormat="1" ht="15.75" thickBot="1" x14ac:dyDescent="0.3">
      <c r="A1655" s="597"/>
      <c r="B1655" s="396" t="s">
        <v>1490</v>
      </c>
      <c r="C1655" s="397">
        <v>2</v>
      </c>
      <c r="D1655" s="236" t="s">
        <v>419</v>
      </c>
      <c r="E1655" s="174">
        <v>130000</v>
      </c>
      <c r="F1655" s="162">
        <f>E1655*C1655</f>
        <v>260000</v>
      </c>
      <c r="G1655" s="202"/>
    </row>
    <row r="1656" spans="1:12" customFormat="1" ht="15.75" thickBot="1" x14ac:dyDescent="0.3">
      <c r="A1656" s="398"/>
      <c r="B1656" s="1784" t="s">
        <v>548</v>
      </c>
      <c r="C1656" s="1785"/>
      <c r="D1656" s="1785"/>
      <c r="E1656" s="1786"/>
      <c r="F1656" s="163">
        <f>SUM(F1654:F1655)</f>
        <v>410000</v>
      </c>
      <c r="G1656" s="399"/>
    </row>
    <row r="1657" spans="1:12" customFormat="1" ht="15" x14ac:dyDescent="0.25">
      <c r="A1657" s="391" t="s">
        <v>2251</v>
      </c>
      <c r="B1657" s="360" t="s">
        <v>1491</v>
      </c>
      <c r="C1657" s="210"/>
      <c r="D1657" s="211"/>
      <c r="E1657" s="207"/>
      <c r="F1657" s="164"/>
      <c r="G1657" s="202"/>
    </row>
    <row r="1658" spans="1:12" customFormat="1" ht="16.5" x14ac:dyDescent="0.25">
      <c r="A1658" s="400"/>
      <c r="B1658" s="179" t="s">
        <v>2253</v>
      </c>
      <c r="C1658" s="210">
        <v>489</v>
      </c>
      <c r="D1658" s="211" t="s">
        <v>2265</v>
      </c>
      <c r="E1658" s="178">
        <v>3000</v>
      </c>
      <c r="F1658" s="164">
        <f>E1658*C1658</f>
        <v>1467000</v>
      </c>
      <c r="G1658" s="202"/>
    </row>
    <row r="1659" spans="1:12" customFormat="1" ht="16.5" x14ac:dyDescent="0.25">
      <c r="A1659" s="400"/>
      <c r="B1659" s="181" t="s">
        <v>2266</v>
      </c>
      <c r="C1659" s="210">
        <v>1</v>
      </c>
      <c r="D1659" s="211" t="s">
        <v>843</v>
      </c>
      <c r="E1659" s="178">
        <v>325000</v>
      </c>
      <c r="F1659" s="164">
        <f>E1659*C1659</f>
        <v>325000</v>
      </c>
      <c r="G1659" s="202"/>
    </row>
    <row r="1660" spans="1:12" customFormat="1" ht="16.5" x14ac:dyDescent="0.25">
      <c r="A1660" s="400"/>
      <c r="B1660" s="179" t="s">
        <v>2267</v>
      </c>
      <c r="C1660" s="210">
        <v>1</v>
      </c>
      <c r="D1660" s="211" t="s">
        <v>843</v>
      </c>
      <c r="E1660" s="178">
        <v>350000</v>
      </c>
      <c r="F1660" s="164">
        <f>E1660*C1660</f>
        <v>350000</v>
      </c>
      <c r="G1660" s="202"/>
    </row>
    <row r="1661" spans="1:12" customFormat="1" ht="15.75" thickBot="1" x14ac:dyDescent="0.3">
      <c r="A1661" s="257"/>
      <c r="B1661" s="159"/>
      <c r="C1661" s="393"/>
      <c r="D1661" s="160"/>
      <c r="E1661" s="161"/>
      <c r="F1661" s="162"/>
      <c r="G1661" s="202"/>
    </row>
    <row r="1662" spans="1:12" customFormat="1" ht="15.75" thickBot="1" x14ac:dyDescent="0.3">
      <c r="A1662" s="210"/>
      <c r="B1662" s="1781" t="s">
        <v>548</v>
      </c>
      <c r="C1662" s="1782"/>
      <c r="D1662" s="1782"/>
      <c r="E1662" s="1783"/>
      <c r="F1662" s="163">
        <f>SUM(F1658:F1660)</f>
        <v>2142000</v>
      </c>
      <c r="G1662" s="399"/>
    </row>
    <row r="1663" spans="1:12" customFormat="1" ht="15.75" thickBot="1" x14ac:dyDescent="0.3">
      <c r="A1663" s="210"/>
      <c r="B1663" s="1781" t="s">
        <v>26</v>
      </c>
      <c r="C1663" s="1782"/>
      <c r="D1663" s="1782"/>
      <c r="E1663" s="1783"/>
      <c r="F1663" s="163">
        <f>F1662+F1656+F1652</f>
        <v>2620960</v>
      </c>
      <c r="G1663" s="399" t="s">
        <v>1845</v>
      </c>
      <c r="L1663" s="172">
        <f>F1663</f>
        <v>2620960</v>
      </c>
    </row>
    <row r="1664" spans="1:12" x14ac:dyDescent="0.2">
      <c r="A1664" s="1762" t="s">
        <v>549</v>
      </c>
      <c r="B1664" s="1762"/>
      <c r="C1664" s="188" t="s">
        <v>27</v>
      </c>
      <c r="D1664" s="1763" t="s">
        <v>1429</v>
      </c>
      <c r="E1664" s="1763"/>
      <c r="F1664" s="1763"/>
      <c r="G1664" s="188"/>
    </row>
    <row r="1665" spans="1:7" x14ac:dyDescent="0.2">
      <c r="A1665" s="1762" t="s">
        <v>28</v>
      </c>
      <c r="B1665" s="1762"/>
      <c r="C1665" s="188"/>
      <c r="D1665" s="1764" t="s">
        <v>2833</v>
      </c>
      <c r="E1665" s="1764"/>
      <c r="F1665" s="1764"/>
      <c r="G1665" s="188"/>
    </row>
    <row r="1666" spans="1:7" x14ac:dyDescent="0.2">
      <c r="A1666" s="186"/>
      <c r="B1666" s="187"/>
      <c r="C1666" s="188"/>
      <c r="D1666" s="189"/>
      <c r="E1666" s="218"/>
      <c r="F1666" s="218"/>
      <c r="G1666" s="188"/>
    </row>
    <row r="1667" spans="1:7" x14ac:dyDescent="0.2">
      <c r="A1667" s="186"/>
      <c r="B1667" s="187"/>
      <c r="C1667" s="188"/>
      <c r="D1667" s="189"/>
      <c r="E1667" s="218"/>
      <c r="F1667" s="218"/>
      <c r="G1667" s="188"/>
    </row>
    <row r="1668" spans="1:7" x14ac:dyDescent="0.2">
      <c r="A1668" s="1762"/>
      <c r="B1668" s="1762"/>
      <c r="C1668" s="188"/>
      <c r="D1668" s="189"/>
      <c r="E1668" s="1762"/>
      <c r="F1668" s="1762"/>
      <c r="G1668" s="188"/>
    </row>
    <row r="1669" spans="1:7" x14ac:dyDescent="0.2">
      <c r="A1669" s="1762" t="s">
        <v>29</v>
      </c>
      <c r="B1669" s="1762"/>
      <c r="C1669" s="188"/>
      <c r="D1669" s="1762" t="s">
        <v>2954</v>
      </c>
      <c r="E1669" s="1762"/>
      <c r="F1669" s="1762"/>
      <c r="G1669" s="188"/>
    </row>
    <row r="1670" spans="1:7" customFormat="1" ht="15" x14ac:dyDescent="0.25">
      <c r="A1670" s="1796" t="s">
        <v>0</v>
      </c>
      <c r="B1670" s="1796"/>
      <c r="C1670" s="1796"/>
      <c r="D1670" s="1796"/>
      <c r="E1670" s="1796"/>
      <c r="F1670" s="1796"/>
      <c r="G1670" s="1796"/>
    </row>
    <row r="1671" spans="1:7" customFormat="1" ht="15" x14ac:dyDescent="0.25">
      <c r="A1671" s="1796" t="s">
        <v>1</v>
      </c>
      <c r="B1671" s="1796"/>
      <c r="C1671" s="1796"/>
      <c r="D1671" s="1796"/>
      <c r="E1671" s="1796"/>
      <c r="F1671" s="1796"/>
      <c r="G1671" s="1796"/>
    </row>
    <row r="1672" spans="1:7" customFormat="1" ht="15" x14ac:dyDescent="0.25">
      <c r="A1672" s="1796" t="s">
        <v>1769</v>
      </c>
      <c r="B1672" s="1796"/>
      <c r="C1672" s="1796"/>
      <c r="D1672" s="1796"/>
      <c r="E1672" s="1796"/>
      <c r="F1672" s="1796"/>
      <c r="G1672" s="1796"/>
    </row>
    <row r="1673" spans="1:7" customFormat="1" ht="15" x14ac:dyDescent="0.25">
      <c r="A1673" s="374"/>
      <c r="B1673" s="375"/>
      <c r="C1673" s="376"/>
      <c r="D1673" s="376"/>
      <c r="E1673" s="377"/>
      <c r="F1673" s="377"/>
      <c r="G1673" s="377"/>
    </row>
    <row r="1674" spans="1:7" customFormat="1" ht="15" x14ac:dyDescent="0.25">
      <c r="A1674" s="377" t="s">
        <v>1483</v>
      </c>
      <c r="B1674" s="378"/>
      <c r="C1674" s="379"/>
      <c r="D1674" s="379"/>
      <c r="E1674" s="380"/>
      <c r="F1674" s="380"/>
      <c r="G1674" s="377"/>
    </row>
    <row r="1675" spans="1:7" customFormat="1" ht="24.75" x14ac:dyDescent="0.25">
      <c r="A1675" s="381" t="s">
        <v>712</v>
      </c>
      <c r="B1675" s="382" t="s">
        <v>1504</v>
      </c>
      <c r="C1675" s="379"/>
      <c r="D1675" s="379"/>
      <c r="E1675" s="380" t="s">
        <v>1484</v>
      </c>
      <c r="F1675" s="380"/>
      <c r="G1675" s="377"/>
    </row>
    <row r="1676" spans="1:7" customFormat="1" ht="75" x14ac:dyDescent="0.25">
      <c r="A1676" s="383" t="s">
        <v>749</v>
      </c>
      <c r="B1676" s="384" t="s">
        <v>2286</v>
      </c>
      <c r="C1676" s="379"/>
      <c r="D1676" s="379"/>
      <c r="E1676" s="380" t="s">
        <v>1485</v>
      </c>
      <c r="F1676" s="380"/>
      <c r="G1676" s="381"/>
    </row>
    <row r="1677" spans="1:7" customFormat="1" ht="30" x14ac:dyDescent="0.25">
      <c r="A1677" s="383" t="s">
        <v>1486</v>
      </c>
      <c r="B1677" s="384" t="s">
        <v>2287</v>
      </c>
      <c r="C1677" s="379"/>
      <c r="D1677" s="379"/>
      <c r="E1677" s="380"/>
      <c r="F1677" s="380"/>
      <c r="G1677" s="381"/>
    </row>
    <row r="1678" spans="1:7" customFormat="1" ht="15" x14ac:dyDescent="0.25">
      <c r="A1678" s="377" t="s">
        <v>1487</v>
      </c>
      <c r="B1678" s="378" t="s">
        <v>61</v>
      </c>
      <c r="C1678" s="379"/>
      <c r="D1678" s="379"/>
      <c r="E1678" s="377"/>
      <c r="F1678" s="377"/>
      <c r="G1678" s="377"/>
    </row>
    <row r="1679" spans="1:7" customFormat="1" ht="15" x14ac:dyDescent="0.25">
      <c r="A1679" s="381" t="s">
        <v>62</v>
      </c>
      <c r="B1679" s="382" t="s">
        <v>63</v>
      </c>
      <c r="C1679" s="379"/>
      <c r="D1679" s="379"/>
      <c r="E1679" s="381"/>
      <c r="F1679" s="381"/>
      <c r="G1679" s="381"/>
    </row>
    <row r="1680" spans="1:7" customFormat="1" ht="15" x14ac:dyDescent="0.25">
      <c r="A1680" s="385"/>
      <c r="B1680" s="386"/>
      <c r="C1680" s="387"/>
      <c r="D1680" s="387"/>
      <c r="E1680" s="385"/>
      <c r="F1680" s="385"/>
      <c r="G1680" s="385"/>
    </row>
    <row r="1681" spans="1:12" customFormat="1" ht="24" x14ac:dyDescent="0.25">
      <c r="A1681" s="388" t="s">
        <v>30</v>
      </c>
      <c r="B1681" s="388" t="s">
        <v>11</v>
      </c>
      <c r="C1681" s="1787" t="s">
        <v>12</v>
      </c>
      <c r="D1681" s="1788"/>
      <c r="E1681" s="152" t="s">
        <v>13</v>
      </c>
      <c r="F1681" s="389" t="s">
        <v>14</v>
      </c>
      <c r="G1681" s="390" t="s">
        <v>266</v>
      </c>
    </row>
    <row r="1682" spans="1:12" customFormat="1" ht="15" x14ac:dyDescent="0.25">
      <c r="A1682" s="197">
        <v>1</v>
      </c>
      <c r="B1682" s="198">
        <v>2</v>
      </c>
      <c r="C1682" s="1773">
        <v>3</v>
      </c>
      <c r="D1682" s="1774"/>
      <c r="E1682" s="2">
        <v>4</v>
      </c>
      <c r="F1682" s="205">
        <v>5</v>
      </c>
      <c r="G1682" s="202">
        <v>7</v>
      </c>
    </row>
    <row r="1683" spans="1:12" customFormat="1" ht="15" x14ac:dyDescent="0.25">
      <c r="A1683" s="391" t="s">
        <v>2288</v>
      </c>
      <c r="B1683" s="153" t="s">
        <v>1505</v>
      </c>
      <c r="C1683" s="154"/>
      <c r="D1683" s="155"/>
      <c r="E1683" s="156"/>
      <c r="F1683" s="157"/>
      <c r="G1683" s="202"/>
    </row>
    <row r="1684" spans="1:12" customFormat="1" ht="15" x14ac:dyDescent="0.25">
      <c r="A1684" s="391" t="s">
        <v>2289</v>
      </c>
      <c r="B1684" s="153" t="s">
        <v>2246</v>
      </c>
      <c r="C1684" s="154"/>
      <c r="D1684" s="155"/>
      <c r="E1684" s="156"/>
      <c r="F1684" s="157"/>
      <c r="G1684" s="202"/>
    </row>
    <row r="1685" spans="1:12" customFormat="1" ht="24" x14ac:dyDescent="0.25">
      <c r="A1685" s="391" t="s">
        <v>2290</v>
      </c>
      <c r="B1685" s="153" t="s">
        <v>1499</v>
      </c>
      <c r="C1685" s="392"/>
      <c r="D1685" s="155"/>
      <c r="E1685" s="156"/>
      <c r="F1685" s="157"/>
      <c r="G1685" s="202"/>
    </row>
    <row r="1686" spans="1:12" customFormat="1" ht="15.75" thickBot="1" x14ac:dyDescent="0.3">
      <c r="A1686" s="257"/>
      <c r="B1686" s="158" t="s">
        <v>2248</v>
      </c>
      <c r="C1686" s="392">
        <v>1</v>
      </c>
      <c r="D1686" s="155" t="s">
        <v>222</v>
      </c>
      <c r="E1686" s="156">
        <v>187200</v>
      </c>
      <c r="F1686" s="157">
        <f>E1686*C1686</f>
        <v>187200</v>
      </c>
      <c r="G1686" s="202"/>
    </row>
    <row r="1687" spans="1:12" customFormat="1" ht="15.75" thickBot="1" x14ac:dyDescent="0.3">
      <c r="A1687" s="207"/>
      <c r="B1687" s="1781" t="s">
        <v>548</v>
      </c>
      <c r="C1687" s="1782"/>
      <c r="D1687" s="1782"/>
      <c r="E1687" s="1783"/>
      <c r="F1687" s="163">
        <f>SUM(F1686:F1686)</f>
        <v>187200</v>
      </c>
      <c r="G1687" s="202"/>
    </row>
    <row r="1688" spans="1:12" customFormat="1" ht="15" x14ac:dyDescent="0.25">
      <c r="A1688" s="391" t="s">
        <v>2291</v>
      </c>
      <c r="B1688" s="394" t="s">
        <v>1488</v>
      </c>
      <c r="C1688" s="210"/>
      <c r="D1688" s="211"/>
      <c r="E1688" s="207"/>
      <c r="F1688" s="164"/>
      <c r="G1688" s="202"/>
    </row>
    <row r="1689" spans="1:12" customFormat="1" ht="15.75" thickBot="1" x14ac:dyDescent="0.3">
      <c r="A1689" s="391"/>
      <c r="B1689" s="396" t="s">
        <v>1490</v>
      </c>
      <c r="C1689" s="397">
        <v>72</v>
      </c>
      <c r="D1689" s="236" t="s">
        <v>419</v>
      </c>
      <c r="E1689" s="174">
        <v>130000</v>
      </c>
      <c r="F1689" s="162">
        <f>E1689*C1689</f>
        <v>9360000</v>
      </c>
      <c r="G1689" s="202"/>
    </row>
    <row r="1690" spans="1:12" customFormat="1" ht="15.75" thickBot="1" x14ac:dyDescent="0.3">
      <c r="A1690" s="398"/>
      <c r="B1690" s="1784" t="s">
        <v>548</v>
      </c>
      <c r="C1690" s="1785"/>
      <c r="D1690" s="1785"/>
      <c r="E1690" s="1786"/>
      <c r="F1690" s="163">
        <f>SUM(F1689:F1689)</f>
        <v>9360000</v>
      </c>
      <c r="G1690" s="399"/>
    </row>
    <row r="1691" spans="1:12" customFormat="1" ht="15.75" thickBot="1" x14ac:dyDescent="0.3">
      <c r="A1691" s="257"/>
      <c r="B1691" s="159"/>
      <c r="C1691" s="393"/>
      <c r="D1691" s="160"/>
      <c r="E1691" s="161"/>
      <c r="F1691" s="162"/>
      <c r="G1691" s="202"/>
    </row>
    <row r="1692" spans="1:12" customFormat="1" ht="15.75" thickBot="1" x14ac:dyDescent="0.3">
      <c r="A1692" s="210"/>
      <c r="B1692" s="1781" t="s">
        <v>26</v>
      </c>
      <c r="C1692" s="1782"/>
      <c r="D1692" s="1782"/>
      <c r="E1692" s="1783"/>
      <c r="F1692" s="163">
        <f>F1690+F1687</f>
        <v>9547200</v>
      </c>
      <c r="G1692" s="399" t="s">
        <v>1845</v>
      </c>
      <c r="L1692" s="172">
        <f>F1692</f>
        <v>9547200</v>
      </c>
    </row>
    <row r="1693" spans="1:12" x14ac:dyDescent="0.2">
      <c r="A1693" s="1762" t="s">
        <v>549</v>
      </c>
      <c r="B1693" s="1762"/>
      <c r="C1693" s="188" t="s">
        <v>27</v>
      </c>
      <c r="D1693" s="1763" t="s">
        <v>1429</v>
      </c>
      <c r="E1693" s="1763"/>
      <c r="F1693" s="1763"/>
      <c r="G1693" s="188"/>
    </row>
    <row r="1694" spans="1:12" x14ac:dyDescent="0.2">
      <c r="A1694" s="1762" t="s">
        <v>28</v>
      </c>
      <c r="B1694" s="1762"/>
      <c r="C1694" s="188"/>
      <c r="D1694" s="1764" t="s">
        <v>2833</v>
      </c>
      <c r="E1694" s="1764"/>
      <c r="F1694" s="1764"/>
      <c r="G1694" s="188"/>
    </row>
    <row r="1695" spans="1:12" x14ac:dyDescent="0.2">
      <c r="A1695" s="186"/>
      <c r="B1695" s="187"/>
      <c r="C1695" s="188"/>
      <c r="D1695" s="189"/>
      <c r="E1695" s="218"/>
      <c r="F1695" s="218"/>
      <c r="G1695" s="188"/>
    </row>
    <row r="1696" spans="1:12" x14ac:dyDescent="0.2">
      <c r="A1696" s="186"/>
      <c r="B1696" s="187"/>
      <c r="C1696" s="188"/>
      <c r="D1696" s="189"/>
      <c r="E1696" s="218"/>
      <c r="F1696" s="218"/>
      <c r="G1696" s="188"/>
    </row>
    <row r="1697" spans="1:7" x14ac:dyDescent="0.2">
      <c r="A1697" s="1762"/>
      <c r="B1697" s="1762"/>
      <c r="C1697" s="188"/>
      <c r="D1697" s="189"/>
      <c r="E1697" s="1762"/>
      <c r="F1697" s="1762"/>
      <c r="G1697" s="188"/>
    </row>
    <row r="1698" spans="1:7" x14ac:dyDescent="0.2">
      <c r="A1698" s="1762" t="s">
        <v>29</v>
      </c>
      <c r="B1698" s="1762"/>
      <c r="C1698" s="188"/>
      <c r="D1698" s="1762" t="s">
        <v>2954</v>
      </c>
      <c r="E1698" s="1762"/>
      <c r="F1698" s="1762"/>
      <c r="G1698" s="188"/>
    </row>
    <row r="1699" spans="1:7" customFormat="1" ht="15" x14ac:dyDescent="0.25"/>
    <row r="1700" spans="1:7" customFormat="1" ht="15" x14ac:dyDescent="0.25"/>
    <row r="1701" spans="1:7" customFormat="1" ht="15" x14ac:dyDescent="0.25"/>
    <row r="1702" spans="1:7" customFormat="1" ht="15" x14ac:dyDescent="0.25">
      <c r="A1702" s="1796" t="s">
        <v>0</v>
      </c>
      <c r="B1702" s="1796"/>
      <c r="C1702" s="1796"/>
      <c r="D1702" s="1796"/>
      <c r="E1702" s="1796"/>
      <c r="F1702" s="1796"/>
      <c r="G1702" s="1796"/>
    </row>
    <row r="1703" spans="1:7" customFormat="1" ht="15" x14ac:dyDescent="0.25">
      <c r="A1703" s="1796" t="s">
        <v>1</v>
      </c>
      <c r="B1703" s="1796"/>
      <c r="C1703" s="1796"/>
      <c r="D1703" s="1796"/>
      <c r="E1703" s="1796"/>
      <c r="F1703" s="1796"/>
      <c r="G1703" s="1796"/>
    </row>
    <row r="1704" spans="1:7" customFormat="1" ht="15" x14ac:dyDescent="0.25">
      <c r="A1704" s="1796" t="s">
        <v>1425</v>
      </c>
      <c r="B1704" s="1796"/>
      <c r="C1704" s="1796"/>
      <c r="D1704" s="1796"/>
      <c r="E1704" s="1796"/>
      <c r="F1704" s="1796"/>
      <c r="G1704" s="1796"/>
    </row>
    <row r="1705" spans="1:7" customFormat="1" ht="15" x14ac:dyDescent="0.25">
      <c r="A1705" s="374"/>
      <c r="B1705" s="375"/>
      <c r="C1705" s="376"/>
      <c r="D1705" s="376"/>
      <c r="E1705" s="377"/>
      <c r="F1705" s="377"/>
      <c r="G1705" s="377"/>
    </row>
    <row r="1706" spans="1:7" customFormat="1" ht="15" x14ac:dyDescent="0.25">
      <c r="A1706" s="377" t="s">
        <v>1483</v>
      </c>
      <c r="B1706" s="378"/>
      <c r="C1706" s="379"/>
      <c r="D1706" s="379"/>
      <c r="E1706" s="380"/>
      <c r="F1706" s="380"/>
      <c r="G1706" s="377"/>
    </row>
    <row r="1707" spans="1:7" customFormat="1" ht="24.75" x14ac:dyDescent="0.25">
      <c r="A1707" s="381" t="s">
        <v>712</v>
      </c>
      <c r="B1707" s="382" t="s">
        <v>1504</v>
      </c>
      <c r="C1707" s="379"/>
      <c r="D1707" s="379"/>
      <c r="E1707" s="380" t="s">
        <v>1484</v>
      </c>
      <c r="F1707" s="380"/>
      <c r="G1707" s="377"/>
    </row>
    <row r="1708" spans="1:7" customFormat="1" ht="75" x14ac:dyDescent="0.25">
      <c r="A1708" s="383" t="s">
        <v>749</v>
      </c>
      <c r="B1708" s="384" t="s">
        <v>2292</v>
      </c>
      <c r="C1708" s="379"/>
      <c r="D1708" s="379"/>
      <c r="E1708" s="380" t="s">
        <v>1485</v>
      </c>
      <c r="F1708" s="380"/>
      <c r="G1708" s="381"/>
    </row>
    <row r="1709" spans="1:7" customFormat="1" ht="30" x14ac:dyDescent="0.25">
      <c r="A1709" s="383" t="s">
        <v>1486</v>
      </c>
      <c r="B1709" s="384" t="s">
        <v>2293</v>
      </c>
      <c r="C1709" s="379"/>
      <c r="D1709" s="379"/>
      <c r="E1709" s="380"/>
      <c r="F1709" s="380"/>
      <c r="G1709" s="381"/>
    </row>
    <row r="1710" spans="1:7" customFormat="1" ht="15" x14ac:dyDescent="0.25">
      <c r="A1710" s="377" t="s">
        <v>1487</v>
      </c>
      <c r="B1710" s="378" t="s">
        <v>61</v>
      </c>
      <c r="C1710" s="379"/>
      <c r="D1710" s="379"/>
      <c r="E1710" s="377"/>
      <c r="F1710" s="377"/>
      <c r="G1710" s="377"/>
    </row>
    <row r="1711" spans="1:7" customFormat="1" ht="15" x14ac:dyDescent="0.25">
      <c r="A1711" s="381" t="s">
        <v>62</v>
      </c>
      <c r="B1711" s="382" t="s">
        <v>63</v>
      </c>
      <c r="C1711" s="379"/>
      <c r="D1711" s="379"/>
      <c r="E1711" s="381"/>
      <c r="F1711" s="381"/>
      <c r="G1711" s="381"/>
    </row>
    <row r="1712" spans="1:7" customFormat="1" ht="15" x14ac:dyDescent="0.25">
      <c r="A1712" s="385"/>
      <c r="B1712" s="386"/>
      <c r="C1712" s="387"/>
      <c r="D1712" s="387"/>
      <c r="E1712" s="385"/>
      <c r="F1712" s="385"/>
      <c r="G1712" s="385"/>
    </row>
    <row r="1713" spans="1:8" customFormat="1" ht="24" x14ac:dyDescent="0.25">
      <c r="A1713" s="388" t="s">
        <v>30</v>
      </c>
      <c r="B1713" s="388" t="s">
        <v>11</v>
      </c>
      <c r="C1713" s="1787" t="s">
        <v>12</v>
      </c>
      <c r="D1713" s="1788"/>
      <c r="E1713" s="152" t="s">
        <v>13</v>
      </c>
      <c r="F1713" s="389" t="s">
        <v>14</v>
      </c>
      <c r="G1713" s="390" t="s">
        <v>266</v>
      </c>
    </row>
    <row r="1714" spans="1:8" customFormat="1" ht="15" x14ac:dyDescent="0.25">
      <c r="A1714" s="197">
        <v>1</v>
      </c>
      <c r="B1714" s="198">
        <v>2</v>
      </c>
      <c r="C1714" s="1773">
        <v>3</v>
      </c>
      <c r="D1714" s="1774"/>
      <c r="E1714" s="2">
        <v>4</v>
      </c>
      <c r="F1714" s="205">
        <v>5</v>
      </c>
      <c r="G1714" s="202">
        <v>7</v>
      </c>
    </row>
    <row r="1715" spans="1:8" customFormat="1" ht="15" x14ac:dyDescent="0.25">
      <c r="A1715" s="391" t="s">
        <v>2294</v>
      </c>
      <c r="B1715" s="153" t="s">
        <v>1505</v>
      </c>
      <c r="C1715" s="154"/>
      <c r="D1715" s="155"/>
      <c r="E1715" s="156"/>
      <c r="F1715" s="157"/>
      <c r="G1715" s="202"/>
    </row>
    <row r="1716" spans="1:8" customFormat="1" ht="15" x14ac:dyDescent="0.25">
      <c r="A1716" s="391" t="s">
        <v>2295</v>
      </c>
      <c r="B1716" s="153" t="s">
        <v>2246</v>
      </c>
      <c r="C1716" s="154"/>
      <c r="D1716" s="155"/>
      <c r="E1716" s="156"/>
      <c r="F1716" s="157"/>
      <c r="G1716" s="202"/>
    </row>
    <row r="1717" spans="1:8" customFormat="1" ht="24" x14ac:dyDescent="0.25">
      <c r="A1717" s="391" t="s">
        <v>2296</v>
      </c>
      <c r="B1717" s="153" t="s">
        <v>1499</v>
      </c>
      <c r="C1717" s="392"/>
      <c r="D1717" s="155"/>
      <c r="E1717" s="156"/>
      <c r="F1717" s="157"/>
      <c r="G1717" s="202"/>
    </row>
    <row r="1718" spans="1:8" customFormat="1" ht="15.75" thickBot="1" x14ac:dyDescent="0.3">
      <c r="A1718" s="257"/>
      <c r="B1718" s="158" t="s">
        <v>2248</v>
      </c>
      <c r="C1718" s="392">
        <v>1</v>
      </c>
      <c r="D1718" s="155" t="s">
        <v>473</v>
      </c>
      <c r="E1718" s="156">
        <v>931000</v>
      </c>
      <c r="F1718" s="157">
        <f>E1718*C1718</f>
        <v>931000</v>
      </c>
      <c r="G1718" s="202"/>
      <c r="H1718" s="32"/>
    </row>
    <row r="1719" spans="1:8" customFormat="1" ht="15.75" thickBot="1" x14ac:dyDescent="0.3">
      <c r="A1719" s="207"/>
      <c r="B1719" s="1781" t="s">
        <v>548</v>
      </c>
      <c r="C1719" s="1782"/>
      <c r="D1719" s="1782"/>
      <c r="E1719" s="1783"/>
      <c r="F1719" s="163">
        <f>SUM(F1718:F1718)</f>
        <v>931000</v>
      </c>
      <c r="G1719" s="202"/>
      <c r="H1719" s="1609"/>
    </row>
    <row r="1720" spans="1:8" customFormat="1" ht="15" x14ac:dyDescent="0.25">
      <c r="A1720" s="391" t="s">
        <v>2297</v>
      </c>
      <c r="B1720" s="394" t="s">
        <v>1488</v>
      </c>
      <c r="C1720" s="210"/>
      <c r="D1720" s="211"/>
      <c r="E1720" s="207"/>
      <c r="F1720" s="164"/>
      <c r="G1720" s="202"/>
      <c r="H1720" s="32"/>
    </row>
    <row r="1721" spans="1:8" customFormat="1" ht="15" x14ac:dyDescent="0.25">
      <c r="A1721" s="391"/>
      <c r="B1721" s="395" t="s">
        <v>1489</v>
      </c>
      <c r="C1721" s="205">
        <v>26</v>
      </c>
      <c r="D1721" s="206" t="s">
        <v>419</v>
      </c>
      <c r="E1721" s="175">
        <v>150000</v>
      </c>
      <c r="F1721" s="157">
        <f>E1721*C1721</f>
        <v>3900000</v>
      </c>
      <c r="G1721" s="202"/>
    </row>
    <row r="1722" spans="1:8" customFormat="1" ht="15.75" thickBot="1" x14ac:dyDescent="0.3">
      <c r="A1722" s="391"/>
      <c r="B1722" s="396" t="s">
        <v>1490</v>
      </c>
      <c r="C1722" s="397">
        <f>C1721*2</f>
        <v>52</v>
      </c>
      <c r="D1722" s="236" t="s">
        <v>419</v>
      </c>
      <c r="E1722" s="174">
        <v>130000</v>
      </c>
      <c r="F1722" s="162">
        <f>E1722*C1722</f>
        <v>6760000</v>
      </c>
      <c r="G1722" s="202"/>
    </row>
    <row r="1723" spans="1:8" customFormat="1" ht="15.75" thickBot="1" x14ac:dyDescent="0.3">
      <c r="A1723" s="398"/>
      <c r="B1723" s="1784" t="s">
        <v>548</v>
      </c>
      <c r="C1723" s="1785"/>
      <c r="D1723" s="1785"/>
      <c r="E1723" s="1786"/>
      <c r="F1723" s="163">
        <f>SUM(F1721:F1722)</f>
        <v>10660000</v>
      </c>
      <c r="G1723" s="399"/>
    </row>
    <row r="1724" spans="1:8" customFormat="1" ht="15" x14ac:dyDescent="0.25">
      <c r="A1724" s="391" t="s">
        <v>2298</v>
      </c>
      <c r="B1724" s="360" t="s">
        <v>1491</v>
      </c>
      <c r="C1724" s="210"/>
      <c r="D1724" s="211"/>
      <c r="E1724" s="207"/>
      <c r="F1724" s="164"/>
      <c r="G1724" s="202"/>
    </row>
    <row r="1725" spans="1:8" customFormat="1" ht="15" x14ac:dyDescent="0.25">
      <c r="A1725" s="207"/>
      <c r="B1725" s="213" t="s">
        <v>1502</v>
      </c>
      <c r="C1725" s="205">
        <v>198</v>
      </c>
      <c r="D1725" s="206" t="s">
        <v>1495</v>
      </c>
      <c r="E1725" s="215">
        <v>130000</v>
      </c>
      <c r="F1725" s="157">
        <f t="shared" ref="F1725:F1730" si="26">E1725*C1725</f>
        <v>25740000</v>
      </c>
      <c r="G1725" s="202"/>
    </row>
    <row r="1726" spans="1:8" customFormat="1" ht="15" x14ac:dyDescent="0.25">
      <c r="A1726" s="207"/>
      <c r="B1726" s="213" t="s">
        <v>1501</v>
      </c>
      <c r="C1726" s="205">
        <v>20</v>
      </c>
      <c r="D1726" s="206" t="s">
        <v>843</v>
      </c>
      <c r="E1726" s="215">
        <v>380000</v>
      </c>
      <c r="F1726" s="157">
        <f t="shared" si="26"/>
        <v>7600000</v>
      </c>
      <c r="G1726" s="202"/>
    </row>
    <row r="1727" spans="1:8" customFormat="1" ht="15" x14ac:dyDescent="0.25">
      <c r="A1727" s="207"/>
      <c r="B1727" s="158" t="s">
        <v>1493</v>
      </c>
      <c r="C1727" s="392">
        <v>286</v>
      </c>
      <c r="D1727" s="155" t="s">
        <v>159</v>
      </c>
      <c r="E1727" s="156">
        <v>3000</v>
      </c>
      <c r="F1727" s="157">
        <f t="shared" si="26"/>
        <v>858000</v>
      </c>
      <c r="G1727" s="202"/>
    </row>
    <row r="1728" spans="1:8" customFormat="1" ht="15" x14ac:dyDescent="0.25">
      <c r="A1728" s="391"/>
      <c r="B1728" s="158" t="s">
        <v>1503</v>
      </c>
      <c r="C1728" s="392">
        <v>272</v>
      </c>
      <c r="D1728" s="155" t="s">
        <v>110</v>
      </c>
      <c r="E1728" s="156">
        <v>75000</v>
      </c>
      <c r="F1728" s="157">
        <f t="shared" si="26"/>
        <v>20400000</v>
      </c>
      <c r="G1728" s="202"/>
    </row>
    <row r="1729" spans="1:19" customFormat="1" ht="15" x14ac:dyDescent="0.25">
      <c r="A1729" s="400"/>
      <c r="B1729" s="159" t="s">
        <v>1496</v>
      </c>
      <c r="C1729" s="393">
        <v>1</v>
      </c>
      <c r="D1729" s="160" t="s">
        <v>110</v>
      </c>
      <c r="E1729" s="161">
        <v>250000</v>
      </c>
      <c r="F1729" s="162">
        <f t="shared" si="26"/>
        <v>250000</v>
      </c>
      <c r="G1729" s="202"/>
    </row>
    <row r="1730" spans="1:19" customFormat="1" ht="15.75" thickBot="1" x14ac:dyDescent="0.3">
      <c r="A1730" s="257"/>
      <c r="B1730" s="159" t="s">
        <v>1497</v>
      </c>
      <c r="C1730" s="393">
        <v>1</v>
      </c>
      <c r="D1730" s="160" t="s">
        <v>110</v>
      </c>
      <c r="E1730" s="161">
        <v>500000</v>
      </c>
      <c r="F1730" s="162">
        <f t="shared" si="26"/>
        <v>500000</v>
      </c>
      <c r="G1730" s="202"/>
    </row>
    <row r="1731" spans="1:19" customFormat="1" ht="15.75" thickBot="1" x14ac:dyDescent="0.3">
      <c r="A1731" s="210"/>
      <c r="B1731" s="1781" t="s">
        <v>548</v>
      </c>
      <c r="C1731" s="1782"/>
      <c r="D1731" s="1782"/>
      <c r="E1731" s="1783"/>
      <c r="F1731" s="163">
        <f>SUM(F1725:F1730)</f>
        <v>55348000</v>
      </c>
      <c r="G1731" s="399"/>
    </row>
    <row r="1732" spans="1:19" customFormat="1" ht="15.75" thickBot="1" x14ac:dyDescent="0.3">
      <c r="A1732" s="210"/>
      <c r="B1732" s="1781" t="s">
        <v>26</v>
      </c>
      <c r="C1732" s="1782"/>
      <c r="D1732" s="1782"/>
      <c r="E1732" s="1783"/>
      <c r="F1732" s="163">
        <f>F1731+F1723+F1719</f>
        <v>66939000</v>
      </c>
      <c r="G1732" s="399" t="s">
        <v>2569</v>
      </c>
      <c r="J1732" s="172"/>
      <c r="L1732" s="172"/>
      <c r="S1732" s="172">
        <f>F1732</f>
        <v>66939000</v>
      </c>
    </row>
    <row r="1733" spans="1:19" x14ac:dyDescent="0.2">
      <c r="A1733" s="1762" t="s">
        <v>549</v>
      </c>
      <c r="B1733" s="1762"/>
      <c r="C1733" s="188" t="s">
        <v>27</v>
      </c>
      <c r="D1733" s="1763" t="s">
        <v>1429</v>
      </c>
      <c r="E1733" s="1763"/>
      <c r="F1733" s="1763"/>
      <c r="G1733" s="188"/>
    </row>
    <row r="1734" spans="1:19" x14ac:dyDescent="0.2">
      <c r="A1734" s="1762" t="s">
        <v>28</v>
      </c>
      <c r="B1734" s="1762"/>
      <c r="C1734" s="188"/>
      <c r="D1734" s="1764" t="s">
        <v>2833</v>
      </c>
      <c r="E1734" s="1764"/>
      <c r="F1734" s="1764"/>
      <c r="G1734" s="188"/>
    </row>
    <row r="1735" spans="1:19" x14ac:dyDescent="0.2">
      <c r="A1735" s="186"/>
      <c r="B1735" s="187"/>
      <c r="C1735" s="188"/>
      <c r="D1735" s="189"/>
      <c r="E1735" s="218"/>
      <c r="F1735" s="218"/>
      <c r="G1735" s="188"/>
    </row>
    <row r="1736" spans="1:19" x14ac:dyDescent="0.2">
      <c r="A1736" s="186"/>
      <c r="B1736" s="187"/>
      <c r="C1736" s="188"/>
      <c r="D1736" s="189"/>
      <c r="E1736" s="218"/>
      <c r="F1736" s="218"/>
      <c r="G1736" s="188"/>
    </row>
    <row r="1737" spans="1:19" x14ac:dyDescent="0.2">
      <c r="A1737" s="1762"/>
      <c r="B1737" s="1762"/>
      <c r="C1737" s="188"/>
      <c r="D1737" s="189"/>
      <c r="E1737" s="1762"/>
      <c r="F1737" s="1762"/>
      <c r="G1737" s="188"/>
    </row>
    <row r="1738" spans="1:19" x14ac:dyDescent="0.2">
      <c r="A1738" s="1762" t="s">
        <v>29</v>
      </c>
      <c r="B1738" s="1762"/>
      <c r="C1738" s="188"/>
      <c r="D1738" s="1762" t="s">
        <v>2954</v>
      </c>
      <c r="E1738" s="1762"/>
      <c r="F1738" s="1762"/>
      <c r="G1738" s="188"/>
    </row>
    <row r="1739" spans="1:19" customFormat="1" ht="15" x14ac:dyDescent="0.25">
      <c r="A1739" s="1796" t="s">
        <v>0</v>
      </c>
      <c r="B1739" s="1796"/>
      <c r="C1739" s="1796"/>
      <c r="D1739" s="1796"/>
      <c r="E1739" s="1796"/>
      <c r="F1739" s="1796"/>
      <c r="G1739" s="1796"/>
    </row>
    <row r="1740" spans="1:19" customFormat="1" ht="15" x14ac:dyDescent="0.25">
      <c r="A1740" s="1796" t="s">
        <v>1</v>
      </c>
      <c r="B1740" s="1796"/>
      <c r="C1740" s="1796"/>
      <c r="D1740" s="1796"/>
      <c r="E1740" s="1796"/>
      <c r="F1740" s="1796"/>
      <c r="G1740" s="1796"/>
    </row>
    <row r="1741" spans="1:19" customFormat="1" ht="15" x14ac:dyDescent="0.25">
      <c r="A1741" s="1796" t="s">
        <v>1769</v>
      </c>
      <c r="B1741" s="1796"/>
      <c r="C1741" s="1796"/>
      <c r="D1741" s="1796"/>
      <c r="E1741" s="1796"/>
      <c r="F1741" s="1796"/>
      <c r="G1741" s="1796"/>
    </row>
    <row r="1742" spans="1:19" customFormat="1" ht="15" x14ac:dyDescent="0.25">
      <c r="A1742" s="374"/>
      <c r="B1742" s="375"/>
      <c r="C1742" s="376"/>
      <c r="D1742" s="376"/>
      <c r="E1742" s="377"/>
      <c r="F1742" s="1007"/>
      <c r="G1742" s="377"/>
    </row>
    <row r="1743" spans="1:19" customFormat="1" ht="15" x14ac:dyDescent="0.25">
      <c r="A1743" s="377" t="s">
        <v>1483</v>
      </c>
      <c r="B1743" s="378"/>
      <c r="C1743" s="379"/>
      <c r="D1743" s="379"/>
      <c r="E1743" s="380"/>
      <c r="F1743" s="380"/>
      <c r="G1743" s="377"/>
    </row>
    <row r="1744" spans="1:19" customFormat="1" ht="24.75" x14ac:dyDescent="0.25">
      <c r="A1744" s="381" t="s">
        <v>712</v>
      </c>
      <c r="B1744" s="382" t="s">
        <v>1504</v>
      </c>
      <c r="C1744" s="379"/>
      <c r="D1744" s="379"/>
      <c r="E1744" s="380" t="s">
        <v>1484</v>
      </c>
      <c r="F1744" s="380"/>
      <c r="G1744" s="377"/>
    </row>
    <row r="1745" spans="1:7" customFormat="1" ht="75" x14ac:dyDescent="0.25">
      <c r="A1745" s="383" t="s">
        <v>749</v>
      </c>
      <c r="B1745" s="384" t="s">
        <v>2242</v>
      </c>
      <c r="C1745" s="379"/>
      <c r="D1745" s="379"/>
      <c r="E1745" s="380" t="s">
        <v>1485</v>
      </c>
      <c r="F1745" s="380"/>
      <c r="G1745" s="381"/>
    </row>
    <row r="1746" spans="1:7" customFormat="1" ht="30" x14ac:dyDescent="0.25">
      <c r="A1746" s="383" t="s">
        <v>1486</v>
      </c>
      <c r="B1746" s="384" t="s">
        <v>2243</v>
      </c>
      <c r="C1746" s="379"/>
      <c r="D1746" s="379"/>
      <c r="E1746" s="380"/>
      <c r="F1746" s="380"/>
      <c r="G1746" s="381"/>
    </row>
    <row r="1747" spans="1:7" customFormat="1" ht="15" x14ac:dyDescent="0.25">
      <c r="A1747" s="377" t="s">
        <v>1487</v>
      </c>
      <c r="B1747" s="378" t="s">
        <v>61</v>
      </c>
      <c r="C1747" s="379"/>
      <c r="D1747" s="379"/>
      <c r="E1747" s="377"/>
      <c r="F1747" s="377"/>
      <c r="G1747" s="377"/>
    </row>
    <row r="1748" spans="1:7" customFormat="1" ht="15" x14ac:dyDescent="0.25">
      <c r="A1748" s="381" t="s">
        <v>62</v>
      </c>
      <c r="B1748" s="382" t="s">
        <v>63</v>
      </c>
      <c r="C1748" s="379"/>
      <c r="D1748" s="379"/>
      <c r="E1748" s="381"/>
      <c r="F1748" s="1006"/>
      <c r="G1748" s="381"/>
    </row>
    <row r="1749" spans="1:7" customFormat="1" ht="15" x14ac:dyDescent="0.25">
      <c r="A1749" s="385"/>
      <c r="B1749" s="386"/>
      <c r="C1749" s="387"/>
      <c r="D1749" s="387"/>
      <c r="E1749" s="385"/>
      <c r="F1749" s="385"/>
      <c r="G1749" s="385"/>
    </row>
    <row r="1750" spans="1:7" customFormat="1" ht="24" x14ac:dyDescent="0.25">
      <c r="A1750" s="388" t="s">
        <v>30</v>
      </c>
      <c r="B1750" s="388" t="s">
        <v>11</v>
      </c>
      <c r="C1750" s="1787" t="s">
        <v>12</v>
      </c>
      <c r="D1750" s="1788"/>
      <c r="E1750" s="152" t="s">
        <v>13</v>
      </c>
      <c r="F1750" s="389" t="s">
        <v>14</v>
      </c>
      <c r="G1750" s="390" t="s">
        <v>266</v>
      </c>
    </row>
    <row r="1751" spans="1:7" customFormat="1" ht="15" x14ac:dyDescent="0.25">
      <c r="A1751" s="197">
        <v>1</v>
      </c>
      <c r="B1751" s="198">
        <v>2</v>
      </c>
      <c r="C1751" s="1773">
        <v>3</v>
      </c>
      <c r="D1751" s="1774"/>
      <c r="E1751" s="2">
        <v>4</v>
      </c>
      <c r="F1751" s="205">
        <v>5</v>
      </c>
      <c r="G1751" s="202">
        <v>7</v>
      </c>
    </row>
    <row r="1752" spans="1:7" customFormat="1" ht="15" x14ac:dyDescent="0.25">
      <c r="A1752" s="391" t="s">
        <v>2244</v>
      </c>
      <c r="B1752" s="153" t="s">
        <v>1505</v>
      </c>
      <c r="C1752" s="154"/>
      <c r="D1752" s="155"/>
      <c r="E1752" s="156"/>
      <c r="F1752" s="157"/>
      <c r="G1752" s="202"/>
    </row>
    <row r="1753" spans="1:7" customFormat="1" ht="15" x14ac:dyDescent="0.25">
      <c r="A1753" s="391" t="s">
        <v>2245</v>
      </c>
      <c r="B1753" s="153" t="s">
        <v>2246</v>
      </c>
      <c r="C1753" s="154"/>
      <c r="D1753" s="155"/>
      <c r="E1753" s="156"/>
      <c r="F1753" s="157"/>
      <c r="G1753" s="202"/>
    </row>
    <row r="1754" spans="1:7" customFormat="1" ht="24" x14ac:dyDescent="0.25">
      <c r="A1754" s="391" t="s">
        <v>2247</v>
      </c>
      <c r="B1754" s="153" t="s">
        <v>1499</v>
      </c>
      <c r="C1754" s="392"/>
      <c r="D1754" s="155"/>
      <c r="E1754" s="156"/>
      <c r="F1754" s="157"/>
      <c r="G1754" s="202"/>
    </row>
    <row r="1755" spans="1:7" customFormat="1" ht="15.75" thickBot="1" x14ac:dyDescent="0.3">
      <c r="A1755" s="257"/>
      <c r="B1755" s="158" t="s">
        <v>2248</v>
      </c>
      <c r="C1755" s="392">
        <v>1</v>
      </c>
      <c r="D1755" s="155" t="s">
        <v>473</v>
      </c>
      <c r="E1755" s="156">
        <v>4743840</v>
      </c>
      <c r="F1755" s="157">
        <f>E1755*C1755</f>
        <v>4743840</v>
      </c>
      <c r="G1755" s="202"/>
    </row>
    <row r="1756" spans="1:7" customFormat="1" ht="15.75" thickBot="1" x14ac:dyDescent="0.3">
      <c r="A1756" s="207"/>
      <c r="B1756" s="1781" t="s">
        <v>548</v>
      </c>
      <c r="C1756" s="1782"/>
      <c r="D1756" s="1782"/>
      <c r="E1756" s="1783"/>
      <c r="F1756" s="163">
        <f>SUM(F1755:F1755)</f>
        <v>4743840</v>
      </c>
      <c r="G1756" s="202"/>
    </row>
    <row r="1757" spans="1:7" customFormat="1" ht="15" x14ac:dyDescent="0.25">
      <c r="A1757" s="391" t="s">
        <v>2249</v>
      </c>
      <c r="B1757" s="394" t="s">
        <v>1488</v>
      </c>
      <c r="C1757" s="210"/>
      <c r="D1757" s="211"/>
      <c r="E1757" s="207"/>
      <c r="F1757" s="164"/>
      <c r="G1757" s="202"/>
    </row>
    <row r="1758" spans="1:7" customFormat="1" ht="15" x14ac:dyDescent="0.25">
      <c r="A1758" s="391"/>
      <c r="B1758" s="395" t="s">
        <v>1489</v>
      </c>
      <c r="C1758" s="205">
        <v>86</v>
      </c>
      <c r="D1758" s="206" t="s">
        <v>419</v>
      </c>
      <c r="E1758" s="175">
        <v>150000</v>
      </c>
      <c r="F1758" s="157">
        <f>E1758*C1758</f>
        <v>12900000</v>
      </c>
      <c r="G1758" s="202"/>
    </row>
    <row r="1759" spans="1:7" customFormat="1" ht="15" x14ac:dyDescent="0.25">
      <c r="A1759" s="597"/>
      <c r="B1759" s="396" t="s">
        <v>1490</v>
      </c>
      <c r="C1759" s="397">
        <f>C1758*2</f>
        <v>172</v>
      </c>
      <c r="D1759" s="236" t="s">
        <v>419</v>
      </c>
      <c r="E1759" s="174">
        <v>130000</v>
      </c>
      <c r="F1759" s="162">
        <f>E1759*C1759</f>
        <v>22360000</v>
      </c>
      <c r="G1759" s="598"/>
    </row>
    <row r="1760" spans="1:7" customFormat="1" ht="15.75" thickBot="1" x14ac:dyDescent="0.3">
      <c r="A1760" s="391"/>
      <c r="B1760" s="396" t="s">
        <v>2250</v>
      </c>
      <c r="C1760" s="599">
        <v>471</v>
      </c>
      <c r="D1760" s="599" t="s">
        <v>419</v>
      </c>
      <c r="E1760" s="174">
        <v>130000</v>
      </c>
      <c r="F1760" s="162">
        <f>E1760*C1760</f>
        <v>61230000</v>
      </c>
      <c r="G1760" s="202"/>
    </row>
    <row r="1761" spans="1:11" customFormat="1" ht="15.75" thickBot="1" x14ac:dyDescent="0.3">
      <c r="A1761" s="398"/>
      <c r="B1761" s="1784" t="s">
        <v>548</v>
      </c>
      <c r="C1761" s="1785"/>
      <c r="D1761" s="1785"/>
      <c r="E1761" s="1786"/>
      <c r="F1761" s="163">
        <f>SUM(F1758:F1760)</f>
        <v>96490000</v>
      </c>
      <c r="G1761" s="600"/>
    </row>
    <row r="1762" spans="1:11" customFormat="1" ht="15" x14ac:dyDescent="0.25">
      <c r="A1762" s="391" t="s">
        <v>2251</v>
      </c>
      <c r="B1762" s="360" t="s">
        <v>1491</v>
      </c>
      <c r="C1762" s="210"/>
      <c r="D1762" s="211"/>
      <c r="E1762" s="207"/>
      <c r="F1762" s="164"/>
      <c r="G1762" s="202"/>
    </row>
    <row r="1763" spans="1:11" customFormat="1" ht="33" x14ac:dyDescent="0.25">
      <c r="A1763" s="400"/>
      <c r="B1763" s="177" t="s">
        <v>2252</v>
      </c>
      <c r="C1763" s="210">
        <v>142</v>
      </c>
      <c r="D1763" s="211" t="s">
        <v>843</v>
      </c>
      <c r="E1763" s="178">
        <v>405000</v>
      </c>
      <c r="F1763" s="164">
        <f>E1763*C1763</f>
        <v>57510000</v>
      </c>
      <c r="G1763" s="202"/>
    </row>
    <row r="1764" spans="1:11" customFormat="1" ht="16.5" x14ac:dyDescent="0.25">
      <c r="A1764" s="400"/>
      <c r="B1764" s="177" t="s">
        <v>2253</v>
      </c>
      <c r="C1764" s="210">
        <v>23836</v>
      </c>
      <c r="D1764" s="211" t="s">
        <v>159</v>
      </c>
      <c r="E1764" s="178">
        <v>3000</v>
      </c>
      <c r="F1764" s="164">
        <f>E1764*C1764</f>
        <v>71508000</v>
      </c>
      <c r="G1764" s="202"/>
    </row>
    <row r="1765" spans="1:11" customFormat="1" ht="16.5" x14ac:dyDescent="0.25">
      <c r="A1765" s="400"/>
      <c r="B1765" s="177" t="s">
        <v>1492</v>
      </c>
      <c r="C1765" s="210">
        <v>58</v>
      </c>
      <c r="D1765" s="211" t="s">
        <v>843</v>
      </c>
      <c r="E1765" s="178">
        <v>400000</v>
      </c>
      <c r="F1765" s="164">
        <f>E1765*C1765</f>
        <v>23200000</v>
      </c>
      <c r="G1765" s="202"/>
    </row>
    <row r="1766" spans="1:11" customFormat="1" ht="16.5" x14ac:dyDescent="0.25">
      <c r="A1766" s="400"/>
      <c r="B1766" s="177" t="s">
        <v>2254</v>
      </c>
      <c r="C1766" s="197">
        <v>1</v>
      </c>
      <c r="D1766" s="197" t="s">
        <v>110</v>
      </c>
      <c r="E1766" s="175">
        <v>250000</v>
      </c>
      <c r="F1766" s="164">
        <f>E1766*C1766</f>
        <v>250000</v>
      </c>
      <c r="G1766" s="202"/>
    </row>
    <row r="1767" spans="1:11" customFormat="1" ht="16.5" x14ac:dyDescent="0.25">
      <c r="A1767" s="400"/>
      <c r="B1767" s="177" t="s">
        <v>1497</v>
      </c>
      <c r="C1767" s="197">
        <v>1</v>
      </c>
      <c r="D1767" s="197" t="s">
        <v>110</v>
      </c>
      <c r="E1767" s="175">
        <v>500000</v>
      </c>
      <c r="F1767" s="164">
        <f>E1767*C1767</f>
        <v>500000</v>
      </c>
      <c r="G1767" s="202"/>
    </row>
    <row r="1768" spans="1:11" customFormat="1" ht="15.75" thickBot="1" x14ac:dyDescent="0.3">
      <c r="A1768" s="257"/>
      <c r="B1768" s="159"/>
      <c r="C1768" s="393"/>
      <c r="D1768" s="160"/>
      <c r="E1768" s="161"/>
      <c r="F1768" s="162"/>
      <c r="G1768" s="202"/>
    </row>
    <row r="1769" spans="1:11" customFormat="1" ht="15.75" thickBot="1" x14ac:dyDescent="0.3">
      <c r="A1769" s="210"/>
      <c r="B1769" s="1781" t="s">
        <v>548</v>
      </c>
      <c r="C1769" s="1782"/>
      <c r="D1769" s="1782"/>
      <c r="E1769" s="1783"/>
      <c r="F1769" s="163">
        <f>SUM(F1763:F1767)</f>
        <v>152968000</v>
      </c>
      <c r="G1769" s="399"/>
    </row>
    <row r="1770" spans="1:11" customFormat="1" ht="15.75" thickBot="1" x14ac:dyDescent="0.3">
      <c r="A1770" s="210"/>
      <c r="B1770" s="1781" t="s">
        <v>26</v>
      </c>
      <c r="C1770" s="1782"/>
      <c r="D1770" s="1782"/>
      <c r="E1770" s="1783"/>
      <c r="F1770" s="163">
        <f>F1769+F1761+F1756</f>
        <v>254201840</v>
      </c>
      <c r="G1770" s="399" t="s">
        <v>1711</v>
      </c>
      <c r="J1770" s="172">
        <f>F1770</f>
        <v>254201840</v>
      </c>
      <c r="K1770" s="172"/>
    </row>
    <row r="1771" spans="1:11" x14ac:dyDescent="0.2">
      <c r="A1771" s="1762" t="s">
        <v>549</v>
      </c>
      <c r="B1771" s="1762"/>
      <c r="C1771" s="188" t="s">
        <v>27</v>
      </c>
      <c r="D1771" s="1763" t="s">
        <v>1429</v>
      </c>
      <c r="E1771" s="1763"/>
      <c r="F1771" s="1763"/>
      <c r="G1771" s="188"/>
    </row>
    <row r="1772" spans="1:11" x14ac:dyDescent="0.2">
      <c r="A1772" s="1762" t="s">
        <v>28</v>
      </c>
      <c r="B1772" s="1762"/>
      <c r="C1772" s="188"/>
      <c r="D1772" s="1764" t="s">
        <v>2833</v>
      </c>
      <c r="E1772" s="1764"/>
      <c r="F1772" s="1764"/>
      <c r="G1772" s="188"/>
    </row>
    <row r="1773" spans="1:11" x14ac:dyDescent="0.2">
      <c r="A1773" s="186"/>
      <c r="B1773" s="187"/>
      <c r="C1773" s="188"/>
      <c r="D1773" s="189"/>
      <c r="E1773" s="218"/>
      <c r="F1773" s="218"/>
      <c r="G1773" s="188"/>
    </row>
    <row r="1774" spans="1:11" x14ac:dyDescent="0.2">
      <c r="A1774" s="186"/>
      <c r="B1774" s="187"/>
      <c r="C1774" s="188"/>
      <c r="D1774" s="189"/>
      <c r="E1774" s="218"/>
      <c r="F1774" s="218"/>
      <c r="G1774" s="188"/>
    </row>
    <row r="1775" spans="1:11" x14ac:dyDescent="0.2">
      <c r="A1775" s="1762"/>
      <c r="B1775" s="1762"/>
      <c r="C1775" s="188"/>
      <c r="D1775" s="189"/>
      <c r="E1775" s="1762"/>
      <c r="F1775" s="1762"/>
      <c r="G1775" s="188"/>
    </row>
    <row r="1776" spans="1:11" x14ac:dyDescent="0.2">
      <c r="A1776" s="1762" t="s">
        <v>29</v>
      </c>
      <c r="B1776" s="1762"/>
      <c r="C1776" s="188"/>
      <c r="D1776" s="1762" t="s">
        <v>2954</v>
      </c>
      <c r="E1776" s="1762"/>
      <c r="F1776" s="1762"/>
      <c r="G1776" s="188"/>
    </row>
    <row r="1777" spans="1:7" customFormat="1" ht="15" x14ac:dyDescent="0.25"/>
    <row r="1778" spans="1:7" customFormat="1" ht="15" x14ac:dyDescent="0.25"/>
    <row r="1779" spans="1:7" customFormat="1" ht="15" x14ac:dyDescent="0.25">
      <c r="A1779" s="1796" t="s">
        <v>0</v>
      </c>
      <c r="B1779" s="1796"/>
      <c r="C1779" s="1796"/>
      <c r="D1779" s="1796"/>
      <c r="E1779" s="1796"/>
      <c r="F1779" s="1796"/>
      <c r="G1779" s="1796"/>
    </row>
    <row r="1780" spans="1:7" customFormat="1" ht="15" x14ac:dyDescent="0.25">
      <c r="A1780" s="1796" t="s">
        <v>1</v>
      </c>
      <c r="B1780" s="1796"/>
      <c r="C1780" s="1796"/>
      <c r="D1780" s="1796"/>
      <c r="E1780" s="1796"/>
      <c r="F1780" s="1796"/>
      <c r="G1780" s="1796"/>
    </row>
    <row r="1781" spans="1:7" customFormat="1" ht="15" x14ac:dyDescent="0.25">
      <c r="A1781" s="1796" t="s">
        <v>1769</v>
      </c>
      <c r="B1781" s="1796"/>
      <c r="C1781" s="1796"/>
      <c r="D1781" s="1796"/>
      <c r="E1781" s="1796"/>
      <c r="F1781" s="1796"/>
      <c r="G1781" s="1796"/>
    </row>
    <row r="1782" spans="1:7" customFormat="1" ht="15" x14ac:dyDescent="0.25">
      <c r="A1782" s="374"/>
      <c r="B1782" s="375"/>
      <c r="C1782" s="376"/>
      <c r="D1782" s="376"/>
      <c r="E1782" s="377"/>
      <c r="F1782" s="377"/>
      <c r="G1782" s="377"/>
    </row>
    <row r="1783" spans="1:7" customFormat="1" ht="15" x14ac:dyDescent="0.25">
      <c r="A1783" s="377" t="s">
        <v>1483</v>
      </c>
      <c r="B1783" s="378"/>
      <c r="C1783" s="379"/>
      <c r="D1783" s="379"/>
      <c r="E1783" s="380"/>
      <c r="F1783" s="380"/>
      <c r="G1783" s="377"/>
    </row>
    <row r="1784" spans="1:7" customFormat="1" ht="24.75" x14ac:dyDescent="0.25">
      <c r="A1784" s="381" t="s">
        <v>712</v>
      </c>
      <c r="B1784" s="382" t="s">
        <v>1504</v>
      </c>
      <c r="C1784" s="379"/>
      <c r="D1784" s="379"/>
      <c r="E1784" s="380" t="s">
        <v>1484</v>
      </c>
      <c r="F1784" s="380"/>
      <c r="G1784" s="377"/>
    </row>
    <row r="1785" spans="1:7" customFormat="1" ht="60" x14ac:dyDescent="0.25">
      <c r="A1785" s="383" t="s">
        <v>749</v>
      </c>
      <c r="B1785" s="384" t="s">
        <v>2255</v>
      </c>
      <c r="C1785" s="379"/>
      <c r="D1785" s="379"/>
      <c r="E1785" s="380" t="s">
        <v>1485</v>
      </c>
      <c r="F1785" s="380"/>
      <c r="G1785" s="381"/>
    </row>
    <row r="1786" spans="1:7" customFormat="1" ht="15" x14ac:dyDescent="0.25">
      <c r="A1786" s="383" t="s">
        <v>1486</v>
      </c>
      <c r="B1786" s="384" t="s">
        <v>2256</v>
      </c>
      <c r="C1786" s="379"/>
      <c r="D1786" s="379"/>
      <c r="E1786" s="380"/>
      <c r="F1786" s="380"/>
      <c r="G1786" s="381"/>
    </row>
    <row r="1787" spans="1:7" customFormat="1" ht="15" x14ac:dyDescent="0.25">
      <c r="A1787" s="377" t="s">
        <v>1487</v>
      </c>
      <c r="B1787" s="378" t="s">
        <v>61</v>
      </c>
      <c r="C1787" s="379"/>
      <c r="D1787" s="379"/>
      <c r="E1787" s="377"/>
      <c r="F1787" s="377"/>
      <c r="G1787" s="377"/>
    </row>
    <row r="1788" spans="1:7" customFormat="1" ht="15" x14ac:dyDescent="0.25">
      <c r="A1788" s="381" t="s">
        <v>62</v>
      </c>
      <c r="B1788" s="382" t="s">
        <v>63</v>
      </c>
      <c r="C1788" s="379"/>
      <c r="D1788" s="379"/>
      <c r="E1788" s="381"/>
      <c r="F1788" s="381"/>
      <c r="G1788" s="381"/>
    </row>
    <row r="1789" spans="1:7" customFormat="1" ht="15" x14ac:dyDescent="0.25">
      <c r="A1789" s="385"/>
      <c r="B1789" s="386"/>
      <c r="C1789" s="387"/>
      <c r="D1789" s="387"/>
      <c r="E1789" s="385"/>
      <c r="F1789" s="385"/>
      <c r="G1789" s="385"/>
    </row>
    <row r="1790" spans="1:7" customFormat="1" ht="24" x14ac:dyDescent="0.25">
      <c r="A1790" s="388" t="s">
        <v>30</v>
      </c>
      <c r="B1790" s="388" t="s">
        <v>11</v>
      </c>
      <c r="C1790" s="1787" t="s">
        <v>12</v>
      </c>
      <c r="D1790" s="1788"/>
      <c r="E1790" s="152" t="s">
        <v>13</v>
      </c>
      <c r="F1790" s="389" t="s">
        <v>14</v>
      </c>
      <c r="G1790" s="390" t="s">
        <v>266</v>
      </c>
    </row>
    <row r="1791" spans="1:7" customFormat="1" ht="15" x14ac:dyDescent="0.25">
      <c r="A1791" s="197">
        <v>1</v>
      </c>
      <c r="B1791" s="198">
        <v>2</v>
      </c>
      <c r="C1791" s="1773">
        <v>3</v>
      </c>
      <c r="D1791" s="1774"/>
      <c r="E1791" s="2">
        <v>4</v>
      </c>
      <c r="F1791" s="205">
        <v>5</v>
      </c>
      <c r="G1791" s="202">
        <v>7</v>
      </c>
    </row>
    <row r="1792" spans="1:7" customFormat="1" ht="15" x14ac:dyDescent="0.25">
      <c r="A1792" s="391" t="s">
        <v>2244</v>
      </c>
      <c r="B1792" s="153" t="s">
        <v>1505</v>
      </c>
      <c r="C1792" s="154"/>
      <c r="D1792" s="155"/>
      <c r="E1792" s="156"/>
      <c r="F1792" s="157"/>
      <c r="G1792" s="202"/>
    </row>
    <row r="1793" spans="1:19" customFormat="1" ht="15" x14ac:dyDescent="0.25">
      <c r="A1793" s="391" t="s">
        <v>2245</v>
      </c>
      <c r="B1793" s="153" t="s">
        <v>2246</v>
      </c>
      <c r="C1793" s="154"/>
      <c r="D1793" s="155"/>
      <c r="E1793" s="156"/>
      <c r="F1793" s="157"/>
      <c r="G1793" s="202"/>
    </row>
    <row r="1794" spans="1:19" customFormat="1" ht="24" x14ac:dyDescent="0.25">
      <c r="A1794" s="391" t="s">
        <v>2247</v>
      </c>
      <c r="B1794" s="153" t="s">
        <v>1499</v>
      </c>
      <c r="C1794" s="392"/>
      <c r="D1794" s="155"/>
      <c r="E1794" s="156"/>
      <c r="F1794" s="157"/>
      <c r="G1794" s="202"/>
    </row>
    <row r="1795" spans="1:19" customFormat="1" ht="15.75" thickBot="1" x14ac:dyDescent="0.3">
      <c r="A1795" s="257"/>
      <c r="B1795" s="158" t="s">
        <v>2248</v>
      </c>
      <c r="C1795" s="392">
        <v>1</v>
      </c>
      <c r="D1795" s="155" t="s">
        <v>473</v>
      </c>
      <c r="E1795" s="156">
        <v>200200</v>
      </c>
      <c r="F1795" s="157">
        <f>E1795*C1795</f>
        <v>200200</v>
      </c>
      <c r="G1795" s="202"/>
    </row>
    <row r="1796" spans="1:19" customFormat="1" ht="15.75" thickBot="1" x14ac:dyDescent="0.3">
      <c r="A1796" s="207"/>
      <c r="B1796" s="1781" t="s">
        <v>548</v>
      </c>
      <c r="C1796" s="1782"/>
      <c r="D1796" s="1782"/>
      <c r="E1796" s="1783"/>
      <c r="F1796" s="163">
        <f>SUM(F1795:F1795)</f>
        <v>200200</v>
      </c>
      <c r="G1796" s="202"/>
    </row>
    <row r="1797" spans="1:19" customFormat="1" ht="15" x14ac:dyDescent="0.25">
      <c r="A1797" s="391" t="s">
        <v>2249</v>
      </c>
      <c r="B1797" s="394" t="s">
        <v>1488</v>
      </c>
      <c r="C1797" s="210"/>
      <c r="D1797" s="211"/>
      <c r="E1797" s="207"/>
      <c r="F1797" s="164"/>
      <c r="G1797" s="202"/>
    </row>
    <row r="1798" spans="1:19" customFormat="1" ht="15" x14ac:dyDescent="0.25">
      <c r="A1798" s="597"/>
      <c r="B1798" s="396" t="s">
        <v>1490</v>
      </c>
      <c r="C1798" s="397">
        <v>77</v>
      </c>
      <c r="D1798" s="236" t="s">
        <v>419</v>
      </c>
      <c r="E1798" s="174">
        <v>130000</v>
      </c>
      <c r="F1798" s="162">
        <f>E1798*C1798</f>
        <v>10010000</v>
      </c>
      <c r="G1798" s="598"/>
    </row>
    <row r="1799" spans="1:19" customFormat="1" ht="15" x14ac:dyDescent="0.25">
      <c r="A1799" s="391"/>
      <c r="B1799" s="238"/>
      <c r="C1799" s="197"/>
      <c r="D1799" s="197"/>
      <c r="E1799" s="175"/>
      <c r="F1799" s="156"/>
      <c r="G1799" s="202"/>
    </row>
    <row r="1800" spans="1:19" customFormat="1" ht="15.75" thickBot="1" x14ac:dyDescent="0.3">
      <c r="A1800" s="398"/>
      <c r="B1800" s="1968" t="s">
        <v>548</v>
      </c>
      <c r="C1800" s="1849"/>
      <c r="D1800" s="1849"/>
      <c r="E1800" s="1850"/>
      <c r="F1800" s="176">
        <f>SUM(F1798:F1798)</f>
        <v>10010000</v>
      </c>
      <c r="G1800" s="600"/>
    </row>
    <row r="1801" spans="1:19" customFormat="1" ht="15.75" thickBot="1" x14ac:dyDescent="0.3">
      <c r="A1801" s="210"/>
      <c r="B1801" s="1781" t="s">
        <v>26</v>
      </c>
      <c r="C1801" s="1782"/>
      <c r="D1801" s="1782"/>
      <c r="E1801" s="1783"/>
      <c r="F1801" s="163">
        <f>F1800+F1796</f>
        <v>10210200</v>
      </c>
      <c r="G1801" s="399" t="s">
        <v>2569</v>
      </c>
      <c r="J1801" s="172"/>
      <c r="K1801" s="172"/>
      <c r="S1801" s="172">
        <f>F1801</f>
        <v>10210200</v>
      </c>
    </row>
    <row r="1802" spans="1:19" x14ac:dyDescent="0.2">
      <c r="A1802" s="1762" t="s">
        <v>549</v>
      </c>
      <c r="B1802" s="1762"/>
      <c r="C1802" s="188" t="s">
        <v>27</v>
      </c>
      <c r="D1802" s="1763" t="s">
        <v>1429</v>
      </c>
      <c r="E1802" s="1763"/>
      <c r="F1802" s="1763"/>
      <c r="G1802" s="188"/>
    </row>
    <row r="1803" spans="1:19" x14ac:dyDescent="0.2">
      <c r="A1803" s="1762" t="s">
        <v>28</v>
      </c>
      <c r="B1803" s="1762"/>
      <c r="C1803" s="188"/>
      <c r="D1803" s="1764" t="s">
        <v>2833</v>
      </c>
      <c r="E1803" s="1764"/>
      <c r="F1803" s="1764"/>
      <c r="G1803" s="188"/>
    </row>
    <row r="1804" spans="1:19" x14ac:dyDescent="0.2">
      <c r="A1804" s="186"/>
      <c r="B1804" s="187"/>
      <c r="C1804" s="188"/>
      <c r="D1804" s="189"/>
      <c r="E1804" s="218"/>
      <c r="F1804" s="218"/>
      <c r="G1804" s="188"/>
    </row>
    <row r="1805" spans="1:19" x14ac:dyDescent="0.2">
      <c r="A1805" s="186"/>
      <c r="B1805" s="187"/>
      <c r="C1805" s="188"/>
      <c r="D1805" s="189"/>
      <c r="E1805" s="218"/>
      <c r="F1805" s="218"/>
      <c r="G1805" s="188"/>
    </row>
    <row r="1806" spans="1:19" x14ac:dyDescent="0.2">
      <c r="A1806" s="1762"/>
      <c r="B1806" s="1762"/>
      <c r="C1806" s="188"/>
      <c r="D1806" s="189"/>
      <c r="E1806" s="1762"/>
      <c r="F1806" s="1762"/>
      <c r="G1806" s="188"/>
    </row>
    <row r="1807" spans="1:19" x14ac:dyDescent="0.2">
      <c r="A1807" s="1762" t="s">
        <v>29</v>
      </c>
      <c r="B1807" s="1762"/>
      <c r="C1807" s="188"/>
      <c r="D1807" s="1762" t="s">
        <v>2954</v>
      </c>
      <c r="E1807" s="1762"/>
      <c r="F1807" s="1762"/>
      <c r="G1807" s="188"/>
    </row>
    <row r="1808" spans="1:19" customFormat="1" ht="15" x14ac:dyDescent="0.25"/>
    <row r="1809" spans="1:7" customFormat="1" ht="15" x14ac:dyDescent="0.25"/>
    <row r="1810" spans="1:7" customFormat="1" ht="15" x14ac:dyDescent="0.25">
      <c r="A1810" s="1796" t="s">
        <v>0</v>
      </c>
      <c r="B1810" s="1796"/>
      <c r="C1810" s="1796"/>
      <c r="D1810" s="1796"/>
      <c r="E1810" s="1796"/>
      <c r="F1810" s="1796"/>
      <c r="G1810" s="1796"/>
    </row>
    <row r="1811" spans="1:7" customFormat="1" ht="15" x14ac:dyDescent="0.25">
      <c r="A1811" s="1796" t="s">
        <v>1</v>
      </c>
      <c r="B1811" s="1796"/>
      <c r="C1811" s="1796"/>
      <c r="D1811" s="1796"/>
      <c r="E1811" s="1796"/>
      <c r="F1811" s="1796"/>
      <c r="G1811" s="1796"/>
    </row>
    <row r="1812" spans="1:7" customFormat="1" ht="15" x14ac:dyDescent="0.25">
      <c r="A1812" s="1796" t="s">
        <v>1769</v>
      </c>
      <c r="B1812" s="1796"/>
      <c r="C1812" s="1796"/>
      <c r="D1812" s="1796"/>
      <c r="E1812" s="1796"/>
      <c r="F1812" s="1796"/>
      <c r="G1812" s="1796"/>
    </row>
    <row r="1813" spans="1:7" customFormat="1" ht="15" x14ac:dyDescent="0.25">
      <c r="A1813" s="374"/>
      <c r="B1813" s="375"/>
      <c r="C1813" s="376"/>
      <c r="D1813" s="376"/>
      <c r="E1813" s="377"/>
      <c r="F1813" s="377"/>
      <c r="G1813" s="377"/>
    </row>
    <row r="1814" spans="1:7" customFormat="1" ht="15" x14ac:dyDescent="0.25">
      <c r="A1814" s="377" t="s">
        <v>1483</v>
      </c>
      <c r="B1814" s="378"/>
      <c r="C1814" s="379"/>
      <c r="D1814" s="379"/>
      <c r="E1814" s="380"/>
      <c r="F1814" s="380"/>
      <c r="G1814" s="377"/>
    </row>
    <row r="1815" spans="1:7" customFormat="1" ht="24.75" x14ac:dyDescent="0.25">
      <c r="A1815" s="381" t="s">
        <v>712</v>
      </c>
      <c r="B1815" s="382" t="s">
        <v>1504</v>
      </c>
      <c r="C1815" s="379"/>
      <c r="D1815" s="379"/>
      <c r="E1815" s="380" t="s">
        <v>1484</v>
      </c>
      <c r="F1815" s="380"/>
      <c r="G1815" s="377"/>
    </row>
    <row r="1816" spans="1:7" customFormat="1" ht="75" x14ac:dyDescent="0.25">
      <c r="A1816" s="383" t="s">
        <v>749</v>
      </c>
      <c r="B1816" s="384" t="s">
        <v>2257</v>
      </c>
      <c r="C1816" s="379"/>
      <c r="D1816" s="379"/>
      <c r="E1816" s="380" t="s">
        <v>1485</v>
      </c>
      <c r="F1816" s="380"/>
      <c r="G1816" s="381"/>
    </row>
    <row r="1817" spans="1:7" customFormat="1" ht="30" x14ac:dyDescent="0.25">
      <c r="A1817" s="383" t="s">
        <v>1486</v>
      </c>
      <c r="B1817" s="384" t="s">
        <v>2258</v>
      </c>
      <c r="C1817" s="379"/>
      <c r="D1817" s="379"/>
      <c r="E1817" s="380"/>
      <c r="F1817" s="380"/>
      <c r="G1817" s="381"/>
    </row>
    <row r="1818" spans="1:7" customFormat="1" ht="15" x14ac:dyDescent="0.25">
      <c r="A1818" s="377" t="s">
        <v>1487</v>
      </c>
      <c r="B1818" s="378" t="s">
        <v>61</v>
      </c>
      <c r="C1818" s="379"/>
      <c r="D1818" s="379"/>
      <c r="E1818" s="377"/>
      <c r="F1818" s="377"/>
      <c r="G1818" s="377"/>
    </row>
    <row r="1819" spans="1:7" customFormat="1" ht="15" x14ac:dyDescent="0.25">
      <c r="A1819" s="381" t="s">
        <v>62</v>
      </c>
      <c r="B1819" s="382" t="s">
        <v>63</v>
      </c>
      <c r="C1819" s="379"/>
      <c r="D1819" s="379"/>
      <c r="E1819" s="381"/>
      <c r="F1819" s="381"/>
      <c r="G1819" s="381"/>
    </row>
    <row r="1820" spans="1:7" customFormat="1" ht="15" x14ac:dyDescent="0.25">
      <c r="A1820" s="385"/>
      <c r="B1820" s="386"/>
      <c r="C1820" s="387"/>
      <c r="D1820" s="387"/>
      <c r="E1820" s="385"/>
      <c r="F1820" s="385"/>
      <c r="G1820" s="385"/>
    </row>
    <row r="1821" spans="1:7" customFormat="1" ht="24" x14ac:dyDescent="0.25">
      <c r="A1821" s="388" t="s">
        <v>30</v>
      </c>
      <c r="B1821" s="388" t="s">
        <v>11</v>
      </c>
      <c r="C1821" s="1787" t="s">
        <v>12</v>
      </c>
      <c r="D1821" s="1788"/>
      <c r="E1821" s="152" t="s">
        <v>13</v>
      </c>
      <c r="F1821" s="389" t="s">
        <v>14</v>
      </c>
      <c r="G1821" s="390" t="s">
        <v>266</v>
      </c>
    </row>
    <row r="1822" spans="1:7" customFormat="1" ht="15" x14ac:dyDescent="0.25">
      <c r="A1822" s="197">
        <v>1</v>
      </c>
      <c r="B1822" s="198">
        <v>2</v>
      </c>
      <c r="C1822" s="1773">
        <v>3</v>
      </c>
      <c r="D1822" s="1774"/>
      <c r="E1822" s="2">
        <v>4</v>
      </c>
      <c r="F1822" s="205">
        <v>5</v>
      </c>
      <c r="G1822" s="202">
        <v>7</v>
      </c>
    </row>
    <row r="1823" spans="1:7" customFormat="1" ht="15" x14ac:dyDescent="0.25">
      <c r="A1823" s="391" t="s">
        <v>2244</v>
      </c>
      <c r="B1823" s="153" t="s">
        <v>1505</v>
      </c>
      <c r="C1823" s="154"/>
      <c r="D1823" s="155"/>
      <c r="E1823" s="156"/>
      <c r="F1823" s="157"/>
      <c r="G1823" s="202"/>
    </row>
    <row r="1824" spans="1:7" customFormat="1" ht="15" x14ac:dyDescent="0.25">
      <c r="A1824" s="391" t="s">
        <v>2245</v>
      </c>
      <c r="B1824" s="153" t="s">
        <v>2246</v>
      </c>
      <c r="C1824" s="154"/>
      <c r="D1824" s="155"/>
      <c r="E1824" s="156"/>
      <c r="F1824" s="157"/>
      <c r="G1824" s="202"/>
    </row>
    <row r="1825" spans="1:7" customFormat="1" ht="24" x14ac:dyDescent="0.25">
      <c r="A1825" s="391" t="s">
        <v>2247</v>
      </c>
      <c r="B1825" s="153" t="s">
        <v>1499</v>
      </c>
      <c r="C1825" s="392"/>
      <c r="D1825" s="155"/>
      <c r="E1825" s="156"/>
      <c r="F1825" s="157"/>
      <c r="G1825" s="202"/>
    </row>
    <row r="1826" spans="1:7" customFormat="1" ht="15.75" thickBot="1" x14ac:dyDescent="0.3">
      <c r="A1826" s="257"/>
      <c r="B1826" s="158" t="s">
        <v>2248</v>
      </c>
      <c r="C1826" s="392">
        <v>1</v>
      </c>
      <c r="D1826" s="155" t="s">
        <v>473</v>
      </c>
      <c r="E1826" s="156">
        <v>3409040</v>
      </c>
      <c r="F1826" s="157">
        <f>E1826*C1826</f>
        <v>3409040</v>
      </c>
      <c r="G1826" s="202"/>
    </row>
    <row r="1827" spans="1:7" customFormat="1" ht="15.75" thickBot="1" x14ac:dyDescent="0.3">
      <c r="A1827" s="207"/>
      <c r="B1827" s="1781" t="s">
        <v>548</v>
      </c>
      <c r="C1827" s="1782"/>
      <c r="D1827" s="1782"/>
      <c r="E1827" s="1783"/>
      <c r="F1827" s="163">
        <f>SUM(F1826:F1826)</f>
        <v>3409040</v>
      </c>
      <c r="G1827" s="202"/>
    </row>
    <row r="1828" spans="1:7" customFormat="1" ht="15" x14ac:dyDescent="0.25">
      <c r="A1828" s="391" t="s">
        <v>2249</v>
      </c>
      <c r="B1828" s="394" t="s">
        <v>1488</v>
      </c>
      <c r="C1828" s="210"/>
      <c r="D1828" s="211"/>
      <c r="E1828" s="207"/>
      <c r="F1828" s="164"/>
      <c r="G1828" s="202"/>
    </row>
    <row r="1829" spans="1:7" customFormat="1" ht="15" x14ac:dyDescent="0.25">
      <c r="A1829" s="597"/>
      <c r="B1829" s="396" t="s">
        <v>1490</v>
      </c>
      <c r="C1829" s="397">
        <v>34</v>
      </c>
      <c r="D1829" s="236" t="s">
        <v>419</v>
      </c>
      <c r="E1829" s="174">
        <v>130000</v>
      </c>
      <c r="F1829" s="162">
        <f>E1829*C1829</f>
        <v>4420000</v>
      </c>
      <c r="G1829" s="598"/>
    </row>
    <row r="1830" spans="1:7" customFormat="1" ht="15" x14ac:dyDescent="0.25">
      <c r="A1830" s="391"/>
      <c r="B1830" s="238" t="s">
        <v>2259</v>
      </c>
      <c r="C1830" s="197">
        <v>383</v>
      </c>
      <c r="D1830" s="197" t="s">
        <v>419</v>
      </c>
      <c r="E1830" s="175">
        <v>130000</v>
      </c>
      <c r="F1830" s="162">
        <f>E1830*C1830</f>
        <v>49790000</v>
      </c>
      <c r="G1830" s="598"/>
    </row>
    <row r="1831" spans="1:7" customFormat="1" ht="15.75" thickBot="1" x14ac:dyDescent="0.3">
      <c r="A1831" s="207"/>
      <c r="B1831" s="1964" t="s">
        <v>548</v>
      </c>
      <c r="C1831" s="1965"/>
      <c r="D1831" s="1965"/>
      <c r="E1831" s="1966"/>
      <c r="F1831" s="156">
        <f>SUM(F1829:F1830)</f>
        <v>54210000</v>
      </c>
      <c r="G1831" s="399"/>
    </row>
    <row r="1832" spans="1:7" customFormat="1" ht="15" x14ac:dyDescent="0.25">
      <c r="A1832" s="391"/>
      <c r="B1832" s="238"/>
      <c r="C1832" s="197"/>
      <c r="D1832" s="197"/>
      <c r="E1832" s="175"/>
      <c r="F1832" s="601"/>
      <c r="G1832" s="202"/>
    </row>
    <row r="1833" spans="1:7" customFormat="1" ht="15" x14ac:dyDescent="0.25">
      <c r="A1833" s="391" t="s">
        <v>2251</v>
      </c>
      <c r="B1833" s="360" t="s">
        <v>1491</v>
      </c>
      <c r="C1833" s="210"/>
      <c r="D1833" s="211"/>
      <c r="E1833" s="207"/>
      <c r="F1833" s="164"/>
      <c r="G1833" s="202"/>
    </row>
    <row r="1834" spans="1:7" customFormat="1" ht="17.25" thickBot="1" x14ac:dyDescent="0.3">
      <c r="A1834" s="400"/>
      <c r="B1834" s="177" t="s">
        <v>2260</v>
      </c>
      <c r="C1834" s="210">
        <v>166</v>
      </c>
      <c r="D1834" s="211" t="s">
        <v>843</v>
      </c>
      <c r="E1834" s="178">
        <v>250000</v>
      </c>
      <c r="F1834" s="164">
        <f>E1834*C1834</f>
        <v>41500000</v>
      </c>
      <c r="G1834" s="202"/>
    </row>
    <row r="1835" spans="1:7" customFormat="1" ht="15.75" thickBot="1" x14ac:dyDescent="0.3">
      <c r="A1835" s="207"/>
      <c r="B1835" s="1781" t="s">
        <v>548</v>
      </c>
      <c r="C1835" s="1782"/>
      <c r="D1835" s="1782"/>
      <c r="E1835" s="1783"/>
      <c r="F1835" s="163">
        <f>SUM(F1834:F1834)</f>
        <v>41500000</v>
      </c>
      <c r="G1835" s="202"/>
    </row>
    <row r="1836" spans="1:7" customFormat="1" ht="16.5" x14ac:dyDescent="0.25">
      <c r="A1836" s="400"/>
      <c r="B1836" s="177"/>
      <c r="C1836" s="210"/>
      <c r="D1836" s="211"/>
      <c r="E1836" s="178"/>
      <c r="F1836" s="164"/>
      <c r="G1836" s="202"/>
    </row>
    <row r="1837" spans="1:7" customFormat="1" ht="15" x14ac:dyDescent="0.25">
      <c r="A1837" s="400"/>
      <c r="B1837" s="360" t="s">
        <v>2261</v>
      </c>
      <c r="C1837" s="210"/>
      <c r="D1837" s="211"/>
      <c r="E1837" s="178"/>
      <c r="F1837" s="164"/>
      <c r="G1837" s="202"/>
    </row>
    <row r="1838" spans="1:7" customFormat="1" ht="15.75" thickBot="1" x14ac:dyDescent="0.3">
      <c r="A1838" s="398"/>
      <c r="B1838" s="238" t="s">
        <v>2262</v>
      </c>
      <c r="C1838" s="197">
        <v>4</v>
      </c>
      <c r="D1838" s="197" t="s">
        <v>222</v>
      </c>
      <c r="E1838" s="175">
        <v>550000</v>
      </c>
      <c r="F1838" s="156">
        <f>E1838*C1838</f>
        <v>2200000</v>
      </c>
      <c r="G1838" s="202"/>
    </row>
    <row r="1839" spans="1:7" customFormat="1" ht="15.75" thickBot="1" x14ac:dyDescent="0.3">
      <c r="A1839" s="207"/>
      <c r="B1839" s="1781" t="s">
        <v>548</v>
      </c>
      <c r="C1839" s="1782"/>
      <c r="D1839" s="1782"/>
      <c r="E1839" s="1783"/>
      <c r="F1839" s="163">
        <f>SUM(F1838:F1838)</f>
        <v>2200000</v>
      </c>
      <c r="G1839" s="202"/>
    </row>
    <row r="1840" spans="1:7" customFormat="1" ht="15.75" thickBot="1" x14ac:dyDescent="0.3">
      <c r="A1840" s="210"/>
      <c r="B1840" s="1781"/>
      <c r="C1840" s="1782"/>
      <c r="D1840" s="1782"/>
      <c r="E1840" s="1783"/>
      <c r="F1840" s="163"/>
      <c r="G1840" s="399"/>
    </row>
    <row r="1841" spans="1:11" customFormat="1" ht="15.75" thickBot="1" x14ac:dyDescent="0.3">
      <c r="A1841" s="210"/>
      <c r="B1841" s="1781" t="s">
        <v>26</v>
      </c>
      <c r="C1841" s="1782"/>
      <c r="D1841" s="1782"/>
      <c r="E1841" s="1783"/>
      <c r="F1841" s="163">
        <f>F1839+F1835+F1831+F1827</f>
        <v>101319040</v>
      </c>
      <c r="G1841" s="399" t="s">
        <v>1711</v>
      </c>
      <c r="J1841" s="172">
        <f>F1841</f>
        <v>101319040</v>
      </c>
      <c r="K1841" s="172"/>
    </row>
    <row r="1842" spans="1:11" x14ac:dyDescent="0.2">
      <c r="A1842" s="1762" t="s">
        <v>549</v>
      </c>
      <c r="B1842" s="1762"/>
      <c r="C1842" s="188" t="s">
        <v>27</v>
      </c>
      <c r="D1842" s="1763" t="s">
        <v>1429</v>
      </c>
      <c r="E1842" s="1763"/>
      <c r="F1842" s="1763"/>
      <c r="G1842" s="188"/>
    </row>
    <row r="1843" spans="1:11" x14ac:dyDescent="0.2">
      <c r="A1843" s="1762" t="s">
        <v>28</v>
      </c>
      <c r="B1843" s="1762"/>
      <c r="C1843" s="188"/>
      <c r="D1843" s="1764" t="s">
        <v>2833</v>
      </c>
      <c r="E1843" s="1764"/>
      <c r="F1843" s="1764"/>
      <c r="G1843" s="188"/>
    </row>
    <row r="1844" spans="1:11" x14ac:dyDescent="0.2">
      <c r="A1844" s="186"/>
      <c r="B1844" s="187"/>
      <c r="C1844" s="188"/>
      <c r="D1844" s="189"/>
      <c r="E1844" s="218"/>
      <c r="F1844" s="218"/>
      <c r="G1844" s="188"/>
    </row>
    <row r="1845" spans="1:11" x14ac:dyDescent="0.2">
      <c r="A1845" s="186"/>
      <c r="B1845" s="187"/>
      <c r="C1845" s="188"/>
      <c r="D1845" s="189"/>
      <c r="E1845" s="218"/>
      <c r="F1845" s="218"/>
      <c r="G1845" s="188"/>
    </row>
    <row r="1846" spans="1:11" x14ac:dyDescent="0.2">
      <c r="A1846" s="1762"/>
      <c r="B1846" s="1762"/>
      <c r="C1846" s="188"/>
      <c r="D1846" s="189"/>
      <c r="E1846" s="1762"/>
      <c r="F1846" s="1762"/>
      <c r="G1846" s="188"/>
    </row>
    <row r="1847" spans="1:11" x14ac:dyDescent="0.2">
      <c r="A1847" s="1762" t="s">
        <v>29</v>
      </c>
      <c r="B1847" s="1762"/>
      <c r="C1847" s="188"/>
      <c r="D1847" s="1762" t="s">
        <v>2954</v>
      </c>
      <c r="E1847" s="1762"/>
      <c r="F1847" s="1762"/>
      <c r="G1847" s="188"/>
    </row>
    <row r="1848" spans="1:11" customFormat="1" ht="15" x14ac:dyDescent="0.25"/>
    <row r="1849" spans="1:11" customFormat="1" ht="15" x14ac:dyDescent="0.25"/>
    <row r="1850" spans="1:11" customFormat="1" ht="15" x14ac:dyDescent="0.25">
      <c r="A1850" s="1796" t="s">
        <v>0</v>
      </c>
      <c r="B1850" s="1796"/>
      <c r="C1850" s="1796"/>
      <c r="D1850" s="1796"/>
      <c r="E1850" s="1796"/>
      <c r="F1850" s="1796"/>
      <c r="G1850" s="1796"/>
    </row>
    <row r="1851" spans="1:11" customFormat="1" ht="15" x14ac:dyDescent="0.25">
      <c r="A1851" s="1796" t="s">
        <v>1</v>
      </c>
      <c r="B1851" s="1796"/>
      <c r="C1851" s="1796"/>
      <c r="D1851" s="1796"/>
      <c r="E1851" s="1796"/>
      <c r="F1851" s="1796"/>
      <c r="G1851" s="1796"/>
    </row>
    <row r="1852" spans="1:11" customFormat="1" ht="15" x14ac:dyDescent="0.25">
      <c r="A1852" s="1796" t="s">
        <v>1769</v>
      </c>
      <c r="B1852" s="1796"/>
      <c r="C1852" s="1796"/>
      <c r="D1852" s="1796"/>
      <c r="E1852" s="1796"/>
      <c r="F1852" s="1796"/>
      <c r="G1852" s="1796"/>
    </row>
    <row r="1853" spans="1:11" customFormat="1" ht="15" x14ac:dyDescent="0.25">
      <c r="A1853" s="374"/>
      <c r="B1853" s="375"/>
      <c r="C1853" s="376"/>
      <c r="D1853" s="376"/>
      <c r="E1853" s="377"/>
      <c r="F1853" s="377"/>
      <c r="G1853" s="377"/>
    </row>
    <row r="1854" spans="1:11" customFormat="1" ht="15" x14ac:dyDescent="0.25">
      <c r="A1854" s="377" t="s">
        <v>1483</v>
      </c>
      <c r="B1854" s="378"/>
      <c r="C1854" s="379"/>
      <c r="D1854" s="379"/>
      <c r="E1854" s="380"/>
      <c r="F1854" s="380"/>
      <c r="G1854" s="377"/>
    </row>
    <row r="1855" spans="1:11" customFormat="1" ht="24.75" x14ac:dyDescent="0.25">
      <c r="A1855" s="381" t="s">
        <v>712</v>
      </c>
      <c r="B1855" s="382" t="s">
        <v>1504</v>
      </c>
      <c r="C1855" s="379"/>
      <c r="D1855" s="379"/>
      <c r="E1855" s="380" t="s">
        <v>1484</v>
      </c>
      <c r="F1855" s="380"/>
      <c r="G1855" s="377"/>
    </row>
    <row r="1856" spans="1:11" customFormat="1" ht="60" x14ac:dyDescent="0.25">
      <c r="A1856" s="383" t="s">
        <v>749</v>
      </c>
      <c r="B1856" s="384" t="s">
        <v>2263</v>
      </c>
      <c r="C1856" s="379"/>
      <c r="D1856" s="379"/>
      <c r="E1856" s="380" t="s">
        <v>1485</v>
      </c>
      <c r="F1856" s="380"/>
      <c r="G1856" s="381"/>
    </row>
    <row r="1857" spans="1:7" customFormat="1" ht="15" x14ac:dyDescent="0.25">
      <c r="A1857" s="383" t="s">
        <v>1486</v>
      </c>
      <c r="B1857" s="384" t="s">
        <v>2264</v>
      </c>
      <c r="C1857" s="379"/>
      <c r="D1857" s="379"/>
      <c r="E1857" s="380"/>
      <c r="F1857" s="380"/>
      <c r="G1857" s="381"/>
    </row>
    <row r="1858" spans="1:7" customFormat="1" ht="15" x14ac:dyDescent="0.25">
      <c r="A1858" s="377" t="s">
        <v>1487</v>
      </c>
      <c r="B1858" s="378" t="s">
        <v>61</v>
      </c>
      <c r="C1858" s="379"/>
      <c r="D1858" s="379"/>
      <c r="E1858" s="377"/>
      <c r="F1858" s="377"/>
      <c r="G1858" s="377"/>
    </row>
    <row r="1859" spans="1:7" customFormat="1" ht="15" x14ac:dyDescent="0.25">
      <c r="A1859" s="381" t="s">
        <v>62</v>
      </c>
      <c r="B1859" s="382" t="s">
        <v>63</v>
      </c>
      <c r="C1859" s="379"/>
      <c r="D1859" s="379"/>
      <c r="E1859" s="381"/>
      <c r="F1859" s="381"/>
      <c r="G1859" s="381"/>
    </row>
    <row r="1860" spans="1:7" customFormat="1" ht="15" x14ac:dyDescent="0.25">
      <c r="A1860" s="385"/>
      <c r="B1860" s="386"/>
      <c r="C1860" s="387"/>
      <c r="D1860" s="387"/>
      <c r="E1860" s="385"/>
      <c r="F1860" s="385"/>
      <c r="G1860" s="385"/>
    </row>
    <row r="1861" spans="1:7" customFormat="1" ht="24" x14ac:dyDescent="0.25">
      <c r="A1861" s="388" t="s">
        <v>30</v>
      </c>
      <c r="B1861" s="388" t="s">
        <v>11</v>
      </c>
      <c r="C1861" s="1787" t="s">
        <v>12</v>
      </c>
      <c r="D1861" s="1788"/>
      <c r="E1861" s="152" t="s">
        <v>13</v>
      </c>
      <c r="F1861" s="389" t="s">
        <v>14</v>
      </c>
      <c r="G1861" s="390" t="s">
        <v>266</v>
      </c>
    </row>
    <row r="1862" spans="1:7" customFormat="1" ht="15" x14ac:dyDescent="0.25">
      <c r="A1862" s="197">
        <v>1</v>
      </c>
      <c r="B1862" s="198">
        <v>2</v>
      </c>
      <c r="C1862" s="1773">
        <v>3</v>
      </c>
      <c r="D1862" s="1774"/>
      <c r="E1862" s="2">
        <v>4</v>
      </c>
      <c r="F1862" s="205">
        <v>5</v>
      </c>
      <c r="G1862" s="202">
        <v>7</v>
      </c>
    </row>
    <row r="1863" spans="1:7" customFormat="1" ht="15" x14ac:dyDescent="0.25">
      <c r="A1863" s="391" t="s">
        <v>2244</v>
      </c>
      <c r="B1863" s="153" t="s">
        <v>1505</v>
      </c>
      <c r="C1863" s="154"/>
      <c r="D1863" s="155"/>
      <c r="E1863" s="156"/>
      <c r="F1863" s="157"/>
      <c r="G1863" s="202"/>
    </row>
    <row r="1864" spans="1:7" customFormat="1" ht="15" x14ac:dyDescent="0.25">
      <c r="A1864" s="391" t="s">
        <v>2245</v>
      </c>
      <c r="B1864" s="153" t="s">
        <v>2246</v>
      </c>
      <c r="C1864" s="154"/>
      <c r="D1864" s="155"/>
      <c r="E1864" s="156"/>
      <c r="F1864" s="157"/>
      <c r="G1864" s="202"/>
    </row>
    <row r="1865" spans="1:7" customFormat="1" ht="24" x14ac:dyDescent="0.25">
      <c r="A1865" s="391" t="s">
        <v>2247</v>
      </c>
      <c r="B1865" s="153" t="s">
        <v>1499</v>
      </c>
      <c r="C1865" s="392"/>
      <c r="D1865" s="155"/>
      <c r="E1865" s="156"/>
      <c r="F1865" s="157"/>
      <c r="G1865" s="202"/>
    </row>
    <row r="1866" spans="1:7" customFormat="1" ht="15.75" thickBot="1" x14ac:dyDescent="0.3">
      <c r="A1866" s="257"/>
      <c r="B1866" s="158" t="s">
        <v>2248</v>
      </c>
      <c r="C1866" s="392">
        <v>1</v>
      </c>
      <c r="D1866" s="155" t="s">
        <v>222</v>
      </c>
      <c r="E1866" s="156">
        <v>3563360</v>
      </c>
      <c r="F1866" s="157">
        <f>E1866*C1866</f>
        <v>3563360</v>
      </c>
      <c r="G1866" s="202"/>
    </row>
    <row r="1867" spans="1:7" customFormat="1" ht="15.75" thickBot="1" x14ac:dyDescent="0.3">
      <c r="A1867" s="207"/>
      <c r="B1867" s="1781" t="s">
        <v>548</v>
      </c>
      <c r="C1867" s="1782"/>
      <c r="D1867" s="1782"/>
      <c r="E1867" s="1783"/>
      <c r="F1867" s="163">
        <f>SUM(F1866:F1866)</f>
        <v>3563360</v>
      </c>
      <c r="G1867" s="202"/>
    </row>
    <row r="1868" spans="1:7" customFormat="1" ht="15" x14ac:dyDescent="0.25">
      <c r="A1868" s="391" t="s">
        <v>2249</v>
      </c>
      <c r="B1868" s="394" t="s">
        <v>1488</v>
      </c>
      <c r="C1868" s="210"/>
      <c r="D1868" s="211"/>
      <c r="E1868" s="207"/>
      <c r="F1868" s="164"/>
      <c r="G1868" s="202"/>
    </row>
    <row r="1869" spans="1:7" customFormat="1" ht="15" x14ac:dyDescent="0.25">
      <c r="A1869" s="391"/>
      <c r="B1869" s="395" t="s">
        <v>1489</v>
      </c>
      <c r="C1869" s="205">
        <v>38</v>
      </c>
      <c r="D1869" s="206" t="s">
        <v>419</v>
      </c>
      <c r="E1869" s="175">
        <v>150000</v>
      </c>
      <c r="F1869" s="157">
        <f>E1869*C1869</f>
        <v>5700000</v>
      </c>
      <c r="G1869" s="202"/>
    </row>
    <row r="1870" spans="1:7" customFormat="1" ht="15" x14ac:dyDescent="0.25">
      <c r="A1870" s="597"/>
      <c r="B1870" s="396" t="s">
        <v>1490</v>
      </c>
      <c r="C1870" s="397">
        <f>C1869*2</f>
        <v>76</v>
      </c>
      <c r="D1870" s="236" t="s">
        <v>419</v>
      </c>
      <c r="E1870" s="174">
        <v>130000</v>
      </c>
      <c r="F1870" s="162">
        <f>E1870*C1870</f>
        <v>9880000</v>
      </c>
      <c r="G1870" s="598"/>
    </row>
    <row r="1871" spans="1:7" customFormat="1" ht="15" x14ac:dyDescent="0.25">
      <c r="A1871" s="391"/>
      <c r="B1871" s="238" t="s">
        <v>2250</v>
      </c>
      <c r="C1871" s="197">
        <v>195</v>
      </c>
      <c r="D1871" s="197" t="s">
        <v>419</v>
      </c>
      <c r="E1871" s="175">
        <v>130000</v>
      </c>
      <c r="F1871" s="162">
        <f>E1871*C1871</f>
        <v>25350000</v>
      </c>
      <c r="G1871" s="202"/>
    </row>
    <row r="1872" spans="1:7" customFormat="1" ht="15.75" thickBot="1" x14ac:dyDescent="0.3">
      <c r="A1872" s="398"/>
      <c r="B1872" s="1968" t="s">
        <v>548</v>
      </c>
      <c r="C1872" s="1849"/>
      <c r="D1872" s="1849"/>
      <c r="E1872" s="1850"/>
      <c r="F1872" s="156">
        <f>SUM(F1869:F1871)</f>
        <v>40930000</v>
      </c>
      <c r="G1872" s="600"/>
    </row>
    <row r="1873" spans="1:11" customFormat="1" ht="15" x14ac:dyDescent="0.25">
      <c r="A1873" s="391" t="s">
        <v>2251</v>
      </c>
      <c r="B1873" s="360" t="s">
        <v>1491</v>
      </c>
      <c r="C1873" s="210"/>
      <c r="D1873" s="211"/>
      <c r="E1873" s="207"/>
      <c r="F1873" s="164"/>
      <c r="G1873" s="202"/>
    </row>
    <row r="1874" spans="1:11" customFormat="1" ht="16.5" x14ac:dyDescent="0.25">
      <c r="A1874" s="400"/>
      <c r="B1874" s="179" t="s">
        <v>2253</v>
      </c>
      <c r="C1874" s="210">
        <v>23373</v>
      </c>
      <c r="D1874" s="211" t="s">
        <v>2265</v>
      </c>
      <c r="E1874" s="178">
        <v>3000</v>
      </c>
      <c r="F1874" s="164">
        <f>E1874*C1874</f>
        <v>70119000</v>
      </c>
      <c r="G1874" s="202"/>
    </row>
    <row r="1875" spans="1:11" customFormat="1" ht="16.5" x14ac:dyDescent="0.25">
      <c r="A1875" s="400"/>
      <c r="B1875" s="181" t="s">
        <v>2266</v>
      </c>
      <c r="C1875" s="210">
        <v>32</v>
      </c>
      <c r="D1875" s="211" t="s">
        <v>159</v>
      </c>
      <c r="E1875" s="178">
        <v>325000</v>
      </c>
      <c r="F1875" s="164">
        <f>E1875*C1875</f>
        <v>10400000</v>
      </c>
      <c r="G1875" s="202"/>
    </row>
    <row r="1876" spans="1:11" customFormat="1" ht="16.5" x14ac:dyDescent="0.25">
      <c r="A1876" s="400"/>
      <c r="B1876" s="179" t="s">
        <v>2267</v>
      </c>
      <c r="C1876" s="210">
        <v>49</v>
      </c>
      <c r="D1876" s="211" t="s">
        <v>843</v>
      </c>
      <c r="E1876" s="178">
        <v>350000</v>
      </c>
      <c r="F1876" s="164">
        <f>E1876*C1876</f>
        <v>17150000</v>
      </c>
      <c r="G1876" s="202"/>
    </row>
    <row r="1877" spans="1:11" customFormat="1" ht="15.75" thickBot="1" x14ac:dyDescent="0.3">
      <c r="A1877" s="257"/>
      <c r="B1877" s="159"/>
      <c r="C1877" s="393"/>
      <c r="D1877" s="160"/>
      <c r="E1877" s="161"/>
      <c r="F1877" s="162"/>
      <c r="G1877" s="202"/>
    </row>
    <row r="1878" spans="1:11" customFormat="1" ht="15.75" thickBot="1" x14ac:dyDescent="0.3">
      <c r="A1878" s="210"/>
      <c r="B1878" s="1781" t="s">
        <v>548</v>
      </c>
      <c r="C1878" s="1782"/>
      <c r="D1878" s="1782"/>
      <c r="E1878" s="1783"/>
      <c r="F1878" s="163">
        <f>SUM(F1874:F1876)</f>
        <v>97669000</v>
      </c>
      <c r="G1878" s="399"/>
    </row>
    <row r="1879" spans="1:11" customFormat="1" ht="15.75" thickBot="1" x14ac:dyDescent="0.3">
      <c r="A1879" s="210"/>
      <c r="B1879" s="1781" t="s">
        <v>26</v>
      </c>
      <c r="C1879" s="1782"/>
      <c r="D1879" s="1782"/>
      <c r="E1879" s="1783"/>
      <c r="F1879" s="163">
        <f>F1878+F1872+F1867</f>
        <v>142162360</v>
      </c>
      <c r="G1879" s="399" t="s">
        <v>1711</v>
      </c>
      <c r="J1879" s="172">
        <f>F1879</f>
        <v>142162360</v>
      </c>
      <c r="K1879" s="172"/>
    </row>
    <row r="1880" spans="1:11" x14ac:dyDescent="0.2">
      <c r="A1880" s="1762" t="s">
        <v>549</v>
      </c>
      <c r="B1880" s="1762"/>
      <c r="C1880" s="188" t="s">
        <v>27</v>
      </c>
      <c r="D1880" s="1763" t="s">
        <v>1429</v>
      </c>
      <c r="E1880" s="1763"/>
      <c r="F1880" s="1763"/>
      <c r="G1880" s="188"/>
    </row>
    <row r="1881" spans="1:11" x14ac:dyDescent="0.2">
      <c r="A1881" s="1762" t="s">
        <v>28</v>
      </c>
      <c r="B1881" s="1762"/>
      <c r="C1881" s="188"/>
      <c r="D1881" s="1764" t="s">
        <v>2833</v>
      </c>
      <c r="E1881" s="1764"/>
      <c r="F1881" s="1764"/>
      <c r="G1881" s="188"/>
    </row>
    <row r="1882" spans="1:11" x14ac:dyDescent="0.2">
      <c r="A1882" s="186"/>
      <c r="B1882" s="187"/>
      <c r="C1882" s="188"/>
      <c r="D1882" s="189"/>
      <c r="E1882" s="218"/>
      <c r="F1882" s="218"/>
      <c r="G1882" s="188"/>
    </row>
    <row r="1883" spans="1:11" x14ac:dyDescent="0.2">
      <c r="A1883" s="186"/>
      <c r="B1883" s="187"/>
      <c r="C1883" s="188"/>
      <c r="D1883" s="189"/>
      <c r="E1883" s="218"/>
      <c r="F1883" s="218"/>
      <c r="G1883" s="188"/>
    </row>
    <row r="1884" spans="1:11" x14ac:dyDescent="0.2">
      <c r="A1884" s="1762"/>
      <c r="B1884" s="1762"/>
      <c r="C1884" s="188"/>
      <c r="D1884" s="189"/>
      <c r="E1884" s="1762"/>
      <c r="F1884" s="1762"/>
      <c r="G1884" s="188"/>
    </row>
    <row r="1885" spans="1:11" x14ac:dyDescent="0.2">
      <c r="A1885" s="1762" t="s">
        <v>29</v>
      </c>
      <c r="B1885" s="1762"/>
      <c r="C1885" s="188"/>
      <c r="D1885" s="1762" t="s">
        <v>2954</v>
      </c>
      <c r="E1885" s="1762"/>
      <c r="F1885" s="1762"/>
      <c r="G1885" s="188"/>
    </row>
    <row r="1886" spans="1:11" customFormat="1" ht="15" x14ac:dyDescent="0.25">
      <c r="F1886" s="32"/>
    </row>
    <row r="1887" spans="1:11" customFormat="1" ht="15" x14ac:dyDescent="0.25"/>
    <row r="1888" spans="1:11" customFormat="1" ht="15" x14ac:dyDescent="0.25">
      <c r="A1888" s="1796" t="s">
        <v>995</v>
      </c>
      <c r="B1888" s="1796"/>
      <c r="C1888" s="1796"/>
      <c r="D1888" s="1796"/>
      <c r="E1888" s="1796"/>
      <c r="F1888" s="1796"/>
      <c r="G1888" s="1796"/>
    </row>
    <row r="1889" spans="1:7" customFormat="1" ht="15" x14ac:dyDescent="0.25">
      <c r="A1889" s="1796" t="s">
        <v>1</v>
      </c>
      <c r="B1889" s="1796"/>
      <c r="C1889" s="1796"/>
      <c r="D1889" s="1796"/>
      <c r="E1889" s="1796"/>
      <c r="F1889" s="1796"/>
      <c r="G1889" s="1796"/>
    </row>
    <row r="1890" spans="1:7" customFormat="1" ht="15" x14ac:dyDescent="0.25">
      <c r="A1890" s="1796" t="s">
        <v>1769</v>
      </c>
      <c r="B1890" s="1796"/>
      <c r="C1890" s="1796"/>
      <c r="D1890" s="1796"/>
      <c r="E1890" s="1796"/>
      <c r="F1890" s="1796"/>
      <c r="G1890" s="1796"/>
    </row>
    <row r="1891" spans="1:7" customFormat="1" ht="15" x14ac:dyDescent="0.25">
      <c r="A1891" s="374"/>
      <c r="B1891" s="375"/>
      <c r="C1891" s="376"/>
      <c r="D1891" s="376"/>
      <c r="E1891" s="377"/>
      <c r="F1891" s="377"/>
      <c r="G1891" s="377"/>
    </row>
    <row r="1892" spans="1:7" customFormat="1" ht="15" x14ac:dyDescent="0.25">
      <c r="A1892" s="377" t="s">
        <v>1483</v>
      </c>
      <c r="B1892" s="378"/>
      <c r="C1892" s="379"/>
      <c r="D1892" s="379"/>
      <c r="E1892" s="380"/>
      <c r="F1892" s="380"/>
      <c r="G1892" s="377"/>
    </row>
    <row r="1893" spans="1:7" customFormat="1" ht="24.75" x14ac:dyDescent="0.25">
      <c r="A1893" s="381" t="s">
        <v>712</v>
      </c>
      <c r="B1893" s="382" t="s">
        <v>1504</v>
      </c>
      <c r="C1893" s="379"/>
      <c r="D1893" s="379"/>
      <c r="E1893" s="380" t="s">
        <v>1484</v>
      </c>
      <c r="F1893" s="380"/>
      <c r="G1893" s="377"/>
    </row>
    <row r="1894" spans="1:7" customFormat="1" ht="60" x14ac:dyDescent="0.25">
      <c r="A1894" s="383" t="s">
        <v>749</v>
      </c>
      <c r="B1894" s="384" t="s">
        <v>2268</v>
      </c>
      <c r="C1894" s="379"/>
      <c r="D1894" s="379"/>
      <c r="E1894" s="380" t="s">
        <v>1485</v>
      </c>
      <c r="F1894" s="380"/>
      <c r="G1894" s="381"/>
    </row>
    <row r="1895" spans="1:7" customFormat="1" ht="15" x14ac:dyDescent="0.25">
      <c r="A1895" s="383" t="s">
        <v>1486</v>
      </c>
      <c r="B1895" s="384" t="s">
        <v>2269</v>
      </c>
      <c r="C1895" s="379"/>
      <c r="D1895" s="379"/>
      <c r="E1895" s="380"/>
      <c r="F1895" s="380"/>
      <c r="G1895" s="381"/>
    </row>
    <row r="1896" spans="1:7" customFormat="1" ht="15" x14ac:dyDescent="0.25">
      <c r="A1896" s="377" t="s">
        <v>1487</v>
      </c>
      <c r="B1896" s="378" t="s">
        <v>61</v>
      </c>
      <c r="C1896" s="379"/>
      <c r="D1896" s="379"/>
      <c r="E1896" s="377"/>
      <c r="F1896" s="377"/>
      <c r="G1896" s="377"/>
    </row>
    <row r="1897" spans="1:7" customFormat="1" ht="15" x14ac:dyDescent="0.25">
      <c r="A1897" s="381" t="s">
        <v>62</v>
      </c>
      <c r="B1897" s="382" t="s">
        <v>63</v>
      </c>
      <c r="C1897" s="379"/>
      <c r="D1897" s="379"/>
      <c r="E1897" s="381"/>
      <c r="F1897" s="381"/>
      <c r="G1897" s="381"/>
    </row>
    <row r="1898" spans="1:7" customFormat="1" ht="15" x14ac:dyDescent="0.25">
      <c r="A1898" s="385"/>
      <c r="B1898" s="386"/>
      <c r="C1898" s="387"/>
      <c r="D1898" s="387"/>
      <c r="E1898" s="385"/>
      <c r="F1898" s="385"/>
      <c r="G1898" s="385"/>
    </row>
    <row r="1899" spans="1:7" customFormat="1" ht="24" x14ac:dyDescent="0.25">
      <c r="A1899" s="388" t="s">
        <v>30</v>
      </c>
      <c r="B1899" s="388" t="s">
        <v>11</v>
      </c>
      <c r="C1899" s="1787" t="s">
        <v>12</v>
      </c>
      <c r="D1899" s="1788"/>
      <c r="E1899" s="152" t="s">
        <v>13</v>
      </c>
      <c r="F1899" s="389" t="s">
        <v>14</v>
      </c>
      <c r="G1899" s="390" t="s">
        <v>266</v>
      </c>
    </row>
    <row r="1900" spans="1:7" customFormat="1" ht="15" x14ac:dyDescent="0.25">
      <c r="A1900" s="197">
        <v>1</v>
      </c>
      <c r="B1900" s="198">
        <v>2</v>
      </c>
      <c r="C1900" s="1773">
        <v>3</v>
      </c>
      <c r="D1900" s="1774"/>
      <c r="E1900" s="2">
        <v>4</v>
      </c>
      <c r="F1900" s="205">
        <v>5</v>
      </c>
      <c r="G1900" s="202">
        <v>7</v>
      </c>
    </row>
    <row r="1901" spans="1:7" customFormat="1" ht="15" x14ac:dyDescent="0.25">
      <c r="A1901" s="391" t="s">
        <v>2244</v>
      </c>
      <c r="B1901" s="153" t="s">
        <v>1505</v>
      </c>
      <c r="C1901" s="154"/>
      <c r="D1901" s="155"/>
      <c r="E1901" s="156"/>
      <c r="F1901" s="157"/>
      <c r="G1901" s="202"/>
    </row>
    <row r="1902" spans="1:7" customFormat="1" ht="15" x14ac:dyDescent="0.25">
      <c r="A1902" s="391" t="s">
        <v>2245</v>
      </c>
      <c r="B1902" s="153" t="s">
        <v>2246</v>
      </c>
      <c r="C1902" s="154"/>
      <c r="D1902" s="155"/>
      <c r="E1902" s="156"/>
      <c r="F1902" s="157"/>
      <c r="G1902" s="202"/>
    </row>
    <row r="1903" spans="1:7" customFormat="1" ht="24" x14ac:dyDescent="0.25">
      <c r="A1903" s="391" t="s">
        <v>2247</v>
      </c>
      <c r="B1903" s="153" t="s">
        <v>1499</v>
      </c>
      <c r="C1903" s="392"/>
      <c r="D1903" s="155"/>
      <c r="E1903" s="156"/>
      <c r="F1903" s="157"/>
      <c r="G1903" s="202"/>
    </row>
    <row r="1904" spans="1:7" customFormat="1" ht="15.75" thickBot="1" x14ac:dyDescent="0.3">
      <c r="A1904" s="257"/>
      <c r="B1904" s="158" t="s">
        <v>2248</v>
      </c>
      <c r="C1904" s="392">
        <v>1</v>
      </c>
      <c r="D1904" s="155" t="s">
        <v>222</v>
      </c>
      <c r="E1904" s="156">
        <v>1350000</v>
      </c>
      <c r="F1904" s="157">
        <f>E1904*C1904</f>
        <v>1350000</v>
      </c>
      <c r="G1904" s="202"/>
    </row>
    <row r="1905" spans="1:19" customFormat="1" ht="15.75" thickBot="1" x14ac:dyDescent="0.3">
      <c r="A1905" s="207"/>
      <c r="B1905" s="1781" t="s">
        <v>548</v>
      </c>
      <c r="C1905" s="1782"/>
      <c r="D1905" s="1782"/>
      <c r="E1905" s="1783"/>
      <c r="F1905" s="163">
        <f>SUM(F1904:F1904)</f>
        <v>1350000</v>
      </c>
      <c r="G1905" s="202"/>
    </row>
    <row r="1906" spans="1:19" customFormat="1" ht="15" x14ac:dyDescent="0.25">
      <c r="A1906" s="391" t="s">
        <v>2249</v>
      </c>
      <c r="B1906" s="394" t="s">
        <v>1488</v>
      </c>
      <c r="C1906" s="210"/>
      <c r="D1906" s="211"/>
      <c r="E1906" s="207"/>
      <c r="F1906" s="164"/>
      <c r="G1906" s="202"/>
    </row>
    <row r="1907" spans="1:19" customFormat="1" ht="15" x14ac:dyDescent="0.25">
      <c r="A1907" s="391"/>
      <c r="B1907" s="395" t="s">
        <v>1489</v>
      </c>
      <c r="C1907" s="205">
        <v>17</v>
      </c>
      <c r="D1907" s="206" t="s">
        <v>419</v>
      </c>
      <c r="E1907" s="175">
        <v>150000</v>
      </c>
      <c r="F1907" s="157">
        <f>E1907*C1907</f>
        <v>2550000</v>
      </c>
      <c r="G1907" s="202"/>
    </row>
    <row r="1908" spans="1:19" customFormat="1" ht="15" x14ac:dyDescent="0.25">
      <c r="A1908" s="391"/>
      <c r="B1908" s="396" t="s">
        <v>1490</v>
      </c>
      <c r="C1908" s="397">
        <f>C1907*2</f>
        <v>34</v>
      </c>
      <c r="D1908" s="236" t="s">
        <v>419</v>
      </c>
      <c r="E1908" s="174">
        <v>130000</v>
      </c>
      <c r="F1908" s="162">
        <f>E1908*C1908</f>
        <v>4420000</v>
      </c>
      <c r="G1908" s="202"/>
    </row>
    <row r="1909" spans="1:19" customFormat="1" ht="15.75" thickBot="1" x14ac:dyDescent="0.3">
      <c r="A1909" s="398"/>
      <c r="B1909" s="221" t="s">
        <v>2250</v>
      </c>
      <c r="C1909" s="189">
        <v>41</v>
      </c>
      <c r="D1909" s="189" t="s">
        <v>419</v>
      </c>
      <c r="E1909" s="602">
        <v>130000</v>
      </c>
      <c r="F1909" s="162">
        <f>E1909*C1909</f>
        <v>5330000</v>
      </c>
      <c r="G1909" s="399"/>
    </row>
    <row r="1910" spans="1:19" customFormat="1" ht="15.75" thickBot="1" x14ac:dyDescent="0.3">
      <c r="A1910" s="398"/>
      <c r="B1910" s="1784" t="s">
        <v>548</v>
      </c>
      <c r="C1910" s="1785"/>
      <c r="D1910" s="1785"/>
      <c r="E1910" s="1786"/>
      <c r="F1910" s="163">
        <f>SUM(F1907:F1909)</f>
        <v>12300000</v>
      </c>
      <c r="G1910" s="399"/>
    </row>
    <row r="1911" spans="1:19" customFormat="1" ht="15" x14ac:dyDescent="0.25">
      <c r="A1911" s="391" t="s">
        <v>2251</v>
      </c>
      <c r="B1911" s="360" t="s">
        <v>1491</v>
      </c>
      <c r="C1911" s="210"/>
      <c r="D1911" s="211"/>
      <c r="E1911" s="207"/>
      <c r="F1911" s="164"/>
      <c r="G1911" s="202"/>
    </row>
    <row r="1912" spans="1:19" customFormat="1" ht="16.5" x14ac:dyDescent="0.25">
      <c r="A1912" s="400"/>
      <c r="B1912" s="603" t="s">
        <v>2270</v>
      </c>
      <c r="C1912" s="210">
        <v>12</v>
      </c>
      <c r="D1912" s="211" t="s">
        <v>843</v>
      </c>
      <c r="E1912" s="178">
        <v>2350000</v>
      </c>
      <c r="F1912" s="164">
        <f>E1912*C1912</f>
        <v>28200000</v>
      </c>
      <c r="G1912" s="202"/>
    </row>
    <row r="1913" spans="1:19" customFormat="1" ht="16.5" x14ac:dyDescent="0.25">
      <c r="A1913" s="400"/>
      <c r="B1913" s="603" t="s">
        <v>2271</v>
      </c>
      <c r="C1913" s="210">
        <v>100</v>
      </c>
      <c r="D1913" s="211" t="s">
        <v>276</v>
      </c>
      <c r="E1913" s="178">
        <v>150000</v>
      </c>
      <c r="F1913" s="164">
        <f>E1913*C1913</f>
        <v>15000000</v>
      </c>
      <c r="G1913" s="202"/>
    </row>
    <row r="1914" spans="1:19" customFormat="1" ht="16.5" x14ac:dyDescent="0.25">
      <c r="A1914" s="400"/>
      <c r="B1914" s="604" t="s">
        <v>2272</v>
      </c>
      <c r="C1914" s="210">
        <v>114.1</v>
      </c>
      <c r="D1914" s="211" t="s">
        <v>159</v>
      </c>
      <c r="E1914" s="178">
        <v>35000</v>
      </c>
      <c r="F1914" s="164">
        <f>E1914*C1914</f>
        <v>3993500</v>
      </c>
      <c r="G1914" s="399"/>
    </row>
    <row r="1915" spans="1:19" customFormat="1" ht="17.25" thickBot="1" x14ac:dyDescent="0.3">
      <c r="A1915" s="400"/>
      <c r="B1915" s="604" t="s">
        <v>2273</v>
      </c>
      <c r="C1915" s="210">
        <v>4.3</v>
      </c>
      <c r="D1915" s="211" t="s">
        <v>843</v>
      </c>
      <c r="E1915" s="178">
        <v>2350000</v>
      </c>
      <c r="F1915" s="164">
        <f>E1915*C1915</f>
        <v>10105000</v>
      </c>
      <c r="G1915" s="399"/>
    </row>
    <row r="1916" spans="1:19" customFormat="1" ht="15.75" thickBot="1" x14ac:dyDescent="0.3">
      <c r="A1916" s="210"/>
      <c r="B1916" s="1781" t="s">
        <v>548</v>
      </c>
      <c r="C1916" s="1782"/>
      <c r="D1916" s="1782"/>
      <c r="E1916" s="1783"/>
      <c r="F1916" s="163">
        <f>SUM(F1912:F1915)</f>
        <v>57298500</v>
      </c>
      <c r="G1916" s="399"/>
    </row>
    <row r="1917" spans="1:19" customFormat="1" ht="15.75" thickBot="1" x14ac:dyDescent="0.3">
      <c r="A1917" s="210"/>
      <c r="B1917" s="1781" t="s">
        <v>26</v>
      </c>
      <c r="C1917" s="1782"/>
      <c r="D1917" s="1782"/>
      <c r="E1917" s="1783"/>
      <c r="F1917" s="163">
        <f>F1916+F1910+F1905</f>
        <v>70948500</v>
      </c>
      <c r="G1917" s="399" t="s">
        <v>1711</v>
      </c>
      <c r="J1917" s="172">
        <f>F1917</f>
        <v>70948500</v>
      </c>
      <c r="K1917" s="172"/>
      <c r="S1917" s="172"/>
    </row>
    <row r="1918" spans="1:19" x14ac:dyDescent="0.2">
      <c r="A1918" s="1762" t="s">
        <v>549</v>
      </c>
      <c r="B1918" s="1762"/>
      <c r="C1918" s="188" t="s">
        <v>27</v>
      </c>
      <c r="D1918" s="1763" t="s">
        <v>1429</v>
      </c>
      <c r="E1918" s="1763"/>
      <c r="F1918" s="1763"/>
      <c r="G1918" s="188"/>
    </row>
    <row r="1919" spans="1:19" x14ac:dyDescent="0.2">
      <c r="A1919" s="1762" t="s">
        <v>28</v>
      </c>
      <c r="B1919" s="1762"/>
      <c r="C1919" s="188"/>
      <c r="D1919" s="1764" t="s">
        <v>2833</v>
      </c>
      <c r="E1919" s="1764"/>
      <c r="F1919" s="1764"/>
      <c r="G1919" s="188"/>
    </row>
    <row r="1920" spans="1:19" x14ac:dyDescent="0.2">
      <c r="A1920" s="186"/>
      <c r="B1920" s="187"/>
      <c r="C1920" s="188"/>
      <c r="D1920" s="189"/>
      <c r="E1920" s="218"/>
      <c r="F1920" s="218"/>
      <c r="G1920" s="188"/>
    </row>
    <row r="1921" spans="1:7" x14ac:dyDescent="0.2">
      <c r="A1921" s="186"/>
      <c r="B1921" s="187"/>
      <c r="C1921" s="188"/>
      <c r="D1921" s="189"/>
      <c r="E1921" s="218"/>
      <c r="F1921" s="218"/>
      <c r="G1921" s="188"/>
    </row>
    <row r="1922" spans="1:7" x14ac:dyDescent="0.2">
      <c r="A1922" s="1762"/>
      <c r="B1922" s="1762"/>
      <c r="C1922" s="188"/>
      <c r="D1922" s="189"/>
      <c r="E1922" s="1762"/>
      <c r="F1922" s="1762"/>
      <c r="G1922" s="188"/>
    </row>
    <row r="1923" spans="1:7" x14ac:dyDescent="0.2">
      <c r="A1923" s="1762" t="s">
        <v>29</v>
      </c>
      <c r="B1923" s="1762"/>
      <c r="C1923" s="188"/>
      <c r="D1923" s="1762" t="s">
        <v>2954</v>
      </c>
      <c r="E1923" s="1762"/>
      <c r="F1923" s="1762"/>
      <c r="G1923" s="188"/>
    </row>
    <row r="1924" spans="1:7" customFormat="1" ht="16.5" x14ac:dyDescent="0.25">
      <c r="A1924" s="434"/>
      <c r="B1924" s="605"/>
      <c r="C1924" s="189"/>
      <c r="D1924" s="189"/>
      <c r="E1924" s="606"/>
      <c r="F1924" s="607"/>
    </row>
    <row r="1925" spans="1:7" customFormat="1" ht="15" x14ac:dyDescent="0.25">
      <c r="A1925" s="189"/>
      <c r="B1925" s="1967"/>
      <c r="C1925" s="1967"/>
      <c r="D1925" s="1967"/>
      <c r="E1925" s="1967"/>
      <c r="F1925" s="607"/>
      <c r="G1925" s="184"/>
    </row>
    <row r="1926" spans="1:7" customFormat="1" ht="15" x14ac:dyDescent="0.25">
      <c r="A1926" s="1796" t="s">
        <v>995</v>
      </c>
      <c r="B1926" s="1796"/>
      <c r="C1926" s="1796"/>
      <c r="D1926" s="1796"/>
      <c r="E1926" s="1796"/>
      <c r="F1926" s="1796"/>
      <c r="G1926" s="1796"/>
    </row>
    <row r="1927" spans="1:7" customFormat="1" ht="15" x14ac:dyDescent="0.25">
      <c r="A1927" s="1796" t="s">
        <v>1</v>
      </c>
      <c r="B1927" s="1796"/>
      <c r="C1927" s="1796"/>
      <c r="D1927" s="1796"/>
      <c r="E1927" s="1796"/>
      <c r="F1927" s="1796"/>
      <c r="G1927" s="1796"/>
    </row>
    <row r="1928" spans="1:7" customFormat="1" ht="15" x14ac:dyDescent="0.25">
      <c r="A1928" s="1796" t="s">
        <v>1769</v>
      </c>
      <c r="B1928" s="1796"/>
      <c r="C1928" s="1796"/>
      <c r="D1928" s="1796"/>
      <c r="E1928" s="1796"/>
      <c r="F1928" s="1796"/>
      <c r="G1928" s="1796"/>
    </row>
    <row r="1929" spans="1:7" customFormat="1" ht="15" x14ac:dyDescent="0.25">
      <c r="A1929" s="374"/>
      <c r="B1929" s="375"/>
      <c r="C1929" s="376"/>
      <c r="D1929" s="376"/>
      <c r="E1929" s="377"/>
      <c r="F1929" s="377"/>
      <c r="G1929" s="377"/>
    </row>
    <row r="1930" spans="1:7" customFormat="1" ht="15" x14ac:dyDescent="0.25">
      <c r="A1930" s="377" t="s">
        <v>1483</v>
      </c>
      <c r="B1930" s="378"/>
      <c r="C1930" s="379"/>
      <c r="D1930" s="379"/>
      <c r="E1930" s="380"/>
      <c r="F1930" s="380"/>
      <c r="G1930" s="377"/>
    </row>
    <row r="1931" spans="1:7" customFormat="1" ht="24.75" x14ac:dyDescent="0.25">
      <c r="A1931" s="381" t="s">
        <v>712</v>
      </c>
      <c r="B1931" s="382" t="s">
        <v>1504</v>
      </c>
      <c r="C1931" s="379"/>
      <c r="D1931" s="379"/>
      <c r="E1931" s="380" t="s">
        <v>1484</v>
      </c>
      <c r="F1931" s="380"/>
      <c r="G1931" s="377"/>
    </row>
    <row r="1932" spans="1:7" customFormat="1" ht="60" x14ac:dyDescent="0.25">
      <c r="A1932" s="383" t="s">
        <v>749</v>
      </c>
      <c r="B1932" s="384" t="s">
        <v>2274</v>
      </c>
      <c r="C1932" s="379"/>
      <c r="D1932" s="379"/>
      <c r="E1932" s="380" t="s">
        <v>1485</v>
      </c>
      <c r="F1932" s="380"/>
      <c r="G1932" s="381"/>
    </row>
    <row r="1933" spans="1:7" customFormat="1" ht="15" x14ac:dyDescent="0.25">
      <c r="A1933" s="383" t="s">
        <v>1486</v>
      </c>
      <c r="B1933" s="384" t="s">
        <v>2275</v>
      </c>
      <c r="C1933" s="379"/>
      <c r="D1933" s="379"/>
      <c r="E1933" s="380"/>
      <c r="F1933" s="380"/>
      <c r="G1933" s="381"/>
    </row>
    <row r="1934" spans="1:7" customFormat="1" ht="15" x14ac:dyDescent="0.25">
      <c r="A1934" s="377" t="s">
        <v>1487</v>
      </c>
      <c r="B1934" s="378" t="s">
        <v>61</v>
      </c>
      <c r="C1934" s="379"/>
      <c r="D1934" s="379"/>
      <c r="E1934" s="377"/>
      <c r="F1934" s="377"/>
      <c r="G1934" s="377"/>
    </row>
    <row r="1935" spans="1:7" customFormat="1" ht="15" x14ac:dyDescent="0.25">
      <c r="A1935" s="381" t="s">
        <v>62</v>
      </c>
      <c r="B1935" s="382" t="s">
        <v>63</v>
      </c>
      <c r="C1935" s="379"/>
      <c r="D1935" s="379"/>
      <c r="E1935" s="381"/>
      <c r="F1935" s="381"/>
      <c r="G1935" s="381"/>
    </row>
    <row r="1936" spans="1:7" customFormat="1" ht="15" x14ac:dyDescent="0.25">
      <c r="A1936" s="385"/>
      <c r="B1936" s="386"/>
      <c r="C1936" s="387"/>
      <c r="D1936" s="387"/>
      <c r="E1936" s="385"/>
      <c r="F1936" s="385"/>
      <c r="G1936" s="385"/>
    </row>
    <row r="1937" spans="1:7" customFormat="1" ht="24" x14ac:dyDescent="0.25">
      <c r="A1937" s="388" t="s">
        <v>30</v>
      </c>
      <c r="B1937" s="388" t="s">
        <v>11</v>
      </c>
      <c r="C1937" s="1787" t="s">
        <v>12</v>
      </c>
      <c r="D1937" s="1788"/>
      <c r="E1937" s="152" t="s">
        <v>13</v>
      </c>
      <c r="F1937" s="389" t="s">
        <v>14</v>
      </c>
      <c r="G1937" s="390" t="s">
        <v>266</v>
      </c>
    </row>
    <row r="1938" spans="1:7" customFormat="1" ht="15" x14ac:dyDescent="0.25">
      <c r="A1938" s="197">
        <v>1</v>
      </c>
      <c r="B1938" s="198">
        <v>2</v>
      </c>
      <c r="C1938" s="1773">
        <v>3</v>
      </c>
      <c r="D1938" s="1774"/>
      <c r="E1938" s="2">
        <v>4</v>
      </c>
      <c r="F1938" s="205">
        <v>5</v>
      </c>
      <c r="G1938" s="202">
        <v>7</v>
      </c>
    </row>
    <row r="1939" spans="1:7" customFormat="1" ht="15" x14ac:dyDescent="0.25">
      <c r="A1939" s="391" t="s">
        <v>2244</v>
      </c>
      <c r="B1939" s="153" t="s">
        <v>1505</v>
      </c>
      <c r="C1939" s="154"/>
      <c r="D1939" s="155"/>
      <c r="E1939" s="156"/>
      <c r="F1939" s="157"/>
      <c r="G1939" s="202"/>
    </row>
    <row r="1940" spans="1:7" customFormat="1" ht="15" x14ac:dyDescent="0.25">
      <c r="A1940" s="391" t="s">
        <v>2245</v>
      </c>
      <c r="B1940" s="153" t="s">
        <v>2246</v>
      </c>
      <c r="C1940" s="154"/>
      <c r="D1940" s="155"/>
      <c r="E1940" s="156"/>
      <c r="F1940" s="157"/>
      <c r="G1940" s="202"/>
    </row>
    <row r="1941" spans="1:7" customFormat="1" ht="24" x14ac:dyDescent="0.25">
      <c r="A1941" s="391" t="s">
        <v>2247</v>
      </c>
      <c r="B1941" s="153" t="s">
        <v>1499</v>
      </c>
      <c r="C1941" s="392"/>
      <c r="D1941" s="155"/>
      <c r="E1941" s="156"/>
      <c r="F1941" s="157"/>
      <c r="G1941" s="202"/>
    </row>
    <row r="1942" spans="1:7" customFormat="1" ht="15.75" thickBot="1" x14ac:dyDescent="0.3">
      <c r="A1942" s="257"/>
      <c r="B1942" s="158" t="s">
        <v>2248</v>
      </c>
      <c r="C1942" s="392">
        <v>1</v>
      </c>
      <c r="D1942" s="155" t="s">
        <v>222</v>
      </c>
      <c r="E1942" s="156">
        <v>1600000</v>
      </c>
      <c r="F1942" s="157">
        <f>E1942*C1942</f>
        <v>1600000</v>
      </c>
      <c r="G1942" s="202"/>
    </row>
    <row r="1943" spans="1:7" customFormat="1" ht="15.75" thickBot="1" x14ac:dyDescent="0.3">
      <c r="A1943" s="207"/>
      <c r="B1943" s="1781" t="s">
        <v>548</v>
      </c>
      <c r="C1943" s="1782"/>
      <c r="D1943" s="1782"/>
      <c r="E1943" s="1783"/>
      <c r="F1943" s="163">
        <f>SUM(F1942:F1942)</f>
        <v>1600000</v>
      </c>
      <c r="G1943" s="202"/>
    </row>
    <row r="1944" spans="1:7" customFormat="1" ht="15" x14ac:dyDescent="0.25">
      <c r="A1944" s="391" t="s">
        <v>2249</v>
      </c>
      <c r="B1944" s="394" t="s">
        <v>1488</v>
      </c>
      <c r="C1944" s="210"/>
      <c r="D1944" s="211"/>
      <c r="E1944" s="207"/>
      <c r="F1944" s="164"/>
      <c r="G1944" s="202"/>
    </row>
    <row r="1945" spans="1:7" customFormat="1" ht="15" x14ac:dyDescent="0.25">
      <c r="A1945" s="391"/>
      <c r="B1945" s="395" t="s">
        <v>1489</v>
      </c>
      <c r="C1945" s="205">
        <v>37</v>
      </c>
      <c r="D1945" s="206" t="s">
        <v>419</v>
      </c>
      <c r="E1945" s="175">
        <v>143000</v>
      </c>
      <c r="F1945" s="157">
        <f>E1945*C1945</f>
        <v>5291000</v>
      </c>
      <c r="G1945" s="202"/>
    </row>
    <row r="1946" spans="1:7" customFormat="1" ht="15" x14ac:dyDescent="0.25">
      <c r="A1946" s="597"/>
      <c r="B1946" s="396" t="s">
        <v>1490</v>
      </c>
      <c r="C1946" s="397">
        <v>37</v>
      </c>
      <c r="D1946" s="236" t="s">
        <v>419</v>
      </c>
      <c r="E1946" s="174">
        <v>130000</v>
      </c>
      <c r="F1946" s="162">
        <f>E1946*C1946</f>
        <v>4810000</v>
      </c>
      <c r="G1946" s="202"/>
    </row>
    <row r="1947" spans="1:7" customFormat="1" ht="15" x14ac:dyDescent="0.25">
      <c r="A1947" s="391"/>
      <c r="B1947" s="238" t="s">
        <v>2250</v>
      </c>
      <c r="C1947" s="197"/>
      <c r="D1947" s="197"/>
      <c r="E1947" s="175"/>
      <c r="F1947" s="156"/>
      <c r="G1947" s="399"/>
    </row>
    <row r="1948" spans="1:7" customFormat="1" ht="15.75" thickBot="1" x14ac:dyDescent="0.3">
      <c r="A1948" s="398"/>
      <c r="B1948" s="1968" t="s">
        <v>548</v>
      </c>
      <c r="C1948" s="1849"/>
      <c r="D1948" s="1849"/>
      <c r="E1948" s="1850"/>
      <c r="F1948" s="176">
        <f>SUM(F1945:F1946)</f>
        <v>10101000</v>
      </c>
      <c r="G1948" s="399"/>
    </row>
    <row r="1949" spans="1:7" customFormat="1" ht="15" x14ac:dyDescent="0.25">
      <c r="A1949" s="391" t="s">
        <v>2251</v>
      </c>
      <c r="B1949" s="360" t="s">
        <v>1491</v>
      </c>
      <c r="C1949" s="210"/>
      <c r="D1949" s="211"/>
      <c r="E1949" s="207"/>
      <c r="F1949" s="164"/>
      <c r="G1949" s="202"/>
    </row>
    <row r="1950" spans="1:7" customFormat="1" ht="16.5" x14ac:dyDescent="0.25">
      <c r="A1950" s="400"/>
      <c r="B1950" s="179" t="s">
        <v>2276</v>
      </c>
      <c r="C1950" s="210">
        <v>52</v>
      </c>
      <c r="D1950" s="211" t="s">
        <v>276</v>
      </c>
      <c r="E1950" s="178">
        <v>1700000</v>
      </c>
      <c r="F1950" s="164">
        <f>E1950*C1950</f>
        <v>88400000</v>
      </c>
      <c r="G1950" s="202"/>
    </row>
    <row r="1951" spans="1:7" customFormat="1" ht="17.25" thickBot="1" x14ac:dyDescent="0.3">
      <c r="A1951" s="400"/>
      <c r="B1951" s="181" t="s">
        <v>2277</v>
      </c>
      <c r="C1951" s="210">
        <v>78</v>
      </c>
      <c r="D1951" s="211" t="s">
        <v>1494</v>
      </c>
      <c r="E1951" s="178">
        <v>35000</v>
      </c>
      <c r="F1951" s="164">
        <f>E1951*C1951</f>
        <v>2730000</v>
      </c>
      <c r="G1951" s="202"/>
    </row>
    <row r="1952" spans="1:7" customFormat="1" ht="15.75" thickBot="1" x14ac:dyDescent="0.3">
      <c r="A1952" s="210"/>
      <c r="B1952" s="1781" t="s">
        <v>548</v>
      </c>
      <c r="C1952" s="1782"/>
      <c r="D1952" s="1782"/>
      <c r="E1952" s="1783"/>
      <c r="F1952" s="163">
        <f>SUM(F1950:F1951)</f>
        <v>91130000</v>
      </c>
      <c r="G1952" s="399"/>
    </row>
    <row r="1953" spans="1:11" customFormat="1" ht="15.75" thickBot="1" x14ac:dyDescent="0.3">
      <c r="A1953" s="210"/>
      <c r="B1953" s="1781" t="s">
        <v>26</v>
      </c>
      <c r="C1953" s="1782"/>
      <c r="D1953" s="1782"/>
      <c r="E1953" s="1783"/>
      <c r="F1953" s="163">
        <f>F1952+F1948+F1943</f>
        <v>102831000</v>
      </c>
      <c r="G1953" s="399" t="s">
        <v>1711</v>
      </c>
      <c r="J1953" s="172">
        <f>F1953</f>
        <v>102831000</v>
      </c>
      <c r="K1953" s="172"/>
    </row>
    <row r="1954" spans="1:11" x14ac:dyDescent="0.2">
      <c r="A1954" s="1762" t="s">
        <v>549</v>
      </c>
      <c r="B1954" s="1762"/>
      <c r="C1954" s="188" t="s">
        <v>27</v>
      </c>
      <c r="D1954" s="1763" t="s">
        <v>1429</v>
      </c>
      <c r="E1954" s="1763"/>
      <c r="F1954" s="1763"/>
      <c r="G1954" s="188"/>
    </row>
    <row r="1955" spans="1:11" x14ac:dyDescent="0.2">
      <c r="A1955" s="1762" t="s">
        <v>28</v>
      </c>
      <c r="B1955" s="1762"/>
      <c r="C1955" s="188"/>
      <c r="D1955" s="1764" t="s">
        <v>2833</v>
      </c>
      <c r="E1955" s="1764"/>
      <c r="F1955" s="1764"/>
      <c r="G1955" s="188"/>
    </row>
    <row r="1956" spans="1:11" x14ac:dyDescent="0.2">
      <c r="A1956" s="186"/>
      <c r="B1956" s="187"/>
      <c r="C1956" s="188"/>
      <c r="D1956" s="189"/>
      <c r="E1956" s="218"/>
      <c r="F1956" s="218"/>
      <c r="G1956" s="188"/>
    </row>
    <row r="1957" spans="1:11" x14ac:dyDescent="0.2">
      <c r="A1957" s="186"/>
      <c r="B1957" s="187"/>
      <c r="C1957" s="188"/>
      <c r="D1957" s="189"/>
      <c r="E1957" s="218"/>
      <c r="F1957" s="218"/>
      <c r="G1957" s="188"/>
    </row>
    <row r="1958" spans="1:11" x14ac:dyDescent="0.2">
      <c r="A1958" s="1762"/>
      <c r="B1958" s="1762"/>
      <c r="C1958" s="188"/>
      <c r="D1958" s="189"/>
      <c r="E1958" s="1762"/>
      <c r="F1958" s="1762"/>
      <c r="G1958" s="188"/>
    </row>
    <row r="1959" spans="1:11" x14ac:dyDescent="0.2">
      <c r="A1959" s="1762" t="s">
        <v>29</v>
      </c>
      <c r="B1959" s="1762"/>
      <c r="C1959" s="188"/>
      <c r="D1959" s="1762" t="s">
        <v>2954</v>
      </c>
      <c r="E1959" s="1762"/>
      <c r="F1959" s="1762"/>
      <c r="G1959" s="188"/>
    </row>
    <row r="1960" spans="1:11" customFormat="1" ht="15" x14ac:dyDescent="0.25"/>
    <row r="1961" spans="1:11" customFormat="1" ht="15" x14ac:dyDescent="0.25"/>
    <row r="1962" spans="1:11" customFormat="1" ht="15" x14ac:dyDescent="0.25">
      <c r="A1962" s="1796" t="s">
        <v>995</v>
      </c>
      <c r="B1962" s="1796"/>
      <c r="C1962" s="1796"/>
      <c r="D1962" s="1796"/>
      <c r="E1962" s="1796"/>
      <c r="F1962" s="1796"/>
      <c r="G1962" s="1796"/>
    </row>
    <row r="1963" spans="1:11" customFormat="1" ht="15" x14ac:dyDescent="0.25">
      <c r="A1963" s="1796" t="s">
        <v>1</v>
      </c>
      <c r="B1963" s="1796"/>
      <c r="C1963" s="1796"/>
      <c r="D1963" s="1796"/>
      <c r="E1963" s="1796"/>
      <c r="F1963" s="1796"/>
      <c r="G1963" s="1796"/>
    </row>
    <row r="1964" spans="1:11" customFormat="1" ht="15" x14ac:dyDescent="0.25">
      <c r="A1964" s="1796" t="s">
        <v>1769</v>
      </c>
      <c r="B1964" s="1796"/>
      <c r="C1964" s="1796"/>
      <c r="D1964" s="1796"/>
      <c r="E1964" s="1796"/>
      <c r="F1964" s="1796"/>
      <c r="G1964" s="1796"/>
    </row>
    <row r="1965" spans="1:11" customFormat="1" ht="15" x14ac:dyDescent="0.25">
      <c r="A1965" s="374"/>
      <c r="B1965" s="375"/>
      <c r="C1965" s="376"/>
      <c r="D1965" s="376"/>
      <c r="E1965" s="377"/>
      <c r="F1965" s="377"/>
      <c r="G1965" s="377"/>
    </row>
    <row r="1966" spans="1:11" customFormat="1" ht="15" x14ac:dyDescent="0.25">
      <c r="A1966" s="377" t="s">
        <v>1483</v>
      </c>
      <c r="B1966" s="378"/>
      <c r="C1966" s="379"/>
      <c r="D1966" s="379"/>
      <c r="E1966" s="380"/>
      <c r="F1966" s="380"/>
      <c r="G1966" s="377"/>
    </row>
    <row r="1967" spans="1:11" customFormat="1" ht="24.75" x14ac:dyDescent="0.25">
      <c r="A1967" s="381" t="s">
        <v>712</v>
      </c>
      <c r="B1967" s="382" t="s">
        <v>1504</v>
      </c>
      <c r="C1967" s="379"/>
      <c r="D1967" s="379"/>
      <c r="E1967" s="380" t="s">
        <v>1484</v>
      </c>
      <c r="F1967" s="380"/>
      <c r="G1967" s="377"/>
    </row>
    <row r="1968" spans="1:11" customFormat="1" ht="60" x14ac:dyDescent="0.25">
      <c r="A1968" s="383" t="s">
        <v>749</v>
      </c>
      <c r="B1968" s="384" t="s">
        <v>2278</v>
      </c>
      <c r="C1968" s="379"/>
      <c r="D1968" s="379"/>
      <c r="E1968" s="380" t="s">
        <v>1485</v>
      </c>
      <c r="F1968" s="380"/>
      <c r="G1968" s="381"/>
    </row>
    <row r="1969" spans="1:7" customFormat="1" ht="15" x14ac:dyDescent="0.25">
      <c r="A1969" s="383" t="s">
        <v>1486</v>
      </c>
      <c r="B1969" s="384" t="s">
        <v>2279</v>
      </c>
      <c r="C1969" s="379"/>
      <c r="D1969" s="379"/>
      <c r="E1969" s="380"/>
      <c r="F1969" s="380"/>
      <c r="G1969" s="381"/>
    </row>
    <row r="1970" spans="1:7" customFormat="1" ht="15" x14ac:dyDescent="0.25">
      <c r="A1970" s="377" t="s">
        <v>1487</v>
      </c>
      <c r="B1970" s="378" t="s">
        <v>61</v>
      </c>
      <c r="C1970" s="379"/>
      <c r="D1970" s="379"/>
      <c r="E1970" s="377"/>
      <c r="F1970" s="377"/>
      <c r="G1970" s="377"/>
    </row>
    <row r="1971" spans="1:7" customFormat="1" ht="15" x14ac:dyDescent="0.25">
      <c r="A1971" s="381" t="s">
        <v>62</v>
      </c>
      <c r="B1971" s="382" t="s">
        <v>63</v>
      </c>
      <c r="C1971" s="379"/>
      <c r="D1971" s="379"/>
      <c r="E1971" s="381"/>
      <c r="F1971" s="381"/>
      <c r="G1971" s="381"/>
    </row>
    <row r="1972" spans="1:7" customFormat="1" ht="15" x14ac:dyDescent="0.25">
      <c r="A1972" s="385"/>
      <c r="B1972" s="386"/>
      <c r="C1972" s="387"/>
      <c r="D1972" s="387"/>
      <c r="E1972" s="385"/>
      <c r="F1972" s="385"/>
      <c r="G1972" s="385"/>
    </row>
    <row r="1973" spans="1:7" customFormat="1" ht="24" x14ac:dyDescent="0.25">
      <c r="A1973" s="388" t="s">
        <v>30</v>
      </c>
      <c r="B1973" s="388" t="s">
        <v>11</v>
      </c>
      <c r="C1973" s="1787" t="s">
        <v>12</v>
      </c>
      <c r="D1973" s="1788"/>
      <c r="E1973" s="152" t="s">
        <v>13</v>
      </c>
      <c r="F1973" s="389" t="s">
        <v>14</v>
      </c>
      <c r="G1973" s="390" t="s">
        <v>266</v>
      </c>
    </row>
    <row r="1974" spans="1:7" customFormat="1" ht="15" x14ac:dyDescent="0.25">
      <c r="A1974" s="197">
        <v>1</v>
      </c>
      <c r="B1974" s="198">
        <v>2</v>
      </c>
      <c r="C1974" s="1773">
        <v>3</v>
      </c>
      <c r="D1974" s="1774"/>
      <c r="E1974" s="2">
        <v>4</v>
      </c>
      <c r="F1974" s="205">
        <v>5</v>
      </c>
      <c r="G1974" s="202">
        <v>7</v>
      </c>
    </row>
    <row r="1975" spans="1:7" customFormat="1" ht="15" x14ac:dyDescent="0.25">
      <c r="A1975" s="391" t="s">
        <v>2244</v>
      </c>
      <c r="B1975" s="153" t="s">
        <v>1505</v>
      </c>
      <c r="C1975" s="154"/>
      <c r="D1975" s="155"/>
      <c r="E1975" s="156"/>
      <c r="F1975" s="157"/>
      <c r="G1975" s="202"/>
    </row>
    <row r="1976" spans="1:7" customFormat="1" ht="15" x14ac:dyDescent="0.25">
      <c r="A1976" s="391" t="s">
        <v>2245</v>
      </c>
      <c r="B1976" s="153" t="s">
        <v>2246</v>
      </c>
      <c r="C1976" s="154"/>
      <c r="D1976" s="155"/>
      <c r="E1976" s="156"/>
      <c r="F1976" s="157"/>
      <c r="G1976" s="202"/>
    </row>
    <row r="1977" spans="1:7" customFormat="1" ht="24" x14ac:dyDescent="0.25">
      <c r="A1977" s="391" t="s">
        <v>2247</v>
      </c>
      <c r="B1977" s="153" t="s">
        <v>1499</v>
      </c>
      <c r="C1977" s="392"/>
      <c r="D1977" s="155"/>
      <c r="E1977" s="156"/>
      <c r="F1977" s="157"/>
      <c r="G1977" s="202"/>
    </row>
    <row r="1978" spans="1:7" customFormat="1" ht="15.75" thickBot="1" x14ac:dyDescent="0.3">
      <c r="A1978" s="257"/>
      <c r="B1978" s="158" t="s">
        <v>2248</v>
      </c>
      <c r="C1978" s="392">
        <v>1</v>
      </c>
      <c r="D1978" s="155" t="s">
        <v>222</v>
      </c>
      <c r="E1978" s="156">
        <v>1192000</v>
      </c>
      <c r="F1978" s="157">
        <f>E1978*C1978</f>
        <v>1192000</v>
      </c>
      <c r="G1978" s="202"/>
    </row>
    <row r="1979" spans="1:7" customFormat="1" ht="15.75" thickBot="1" x14ac:dyDescent="0.3">
      <c r="A1979" s="207"/>
      <c r="B1979" s="1781" t="s">
        <v>548</v>
      </c>
      <c r="C1979" s="1782"/>
      <c r="D1979" s="1782"/>
      <c r="E1979" s="1783"/>
      <c r="F1979" s="163">
        <f>SUM(F1978:F1978)</f>
        <v>1192000</v>
      </c>
      <c r="G1979" s="202"/>
    </row>
    <row r="1980" spans="1:7" customFormat="1" ht="15" x14ac:dyDescent="0.25">
      <c r="A1980" s="391" t="s">
        <v>2249</v>
      </c>
      <c r="B1980" s="394" t="s">
        <v>1488</v>
      </c>
      <c r="C1980" s="210"/>
      <c r="D1980" s="211"/>
      <c r="E1980" s="207"/>
      <c r="F1980" s="164"/>
      <c r="G1980" s="202"/>
    </row>
    <row r="1981" spans="1:7" customFormat="1" ht="15" x14ac:dyDescent="0.25">
      <c r="A1981" s="391"/>
      <c r="B1981" s="395" t="s">
        <v>1489</v>
      </c>
      <c r="C1981" s="205">
        <v>5</v>
      </c>
      <c r="D1981" s="206" t="s">
        <v>419</v>
      </c>
      <c r="E1981" s="175">
        <v>150000</v>
      </c>
      <c r="F1981" s="157">
        <f>E1981*C1981</f>
        <v>750000</v>
      </c>
      <c r="G1981" s="202"/>
    </row>
    <row r="1982" spans="1:7" customFormat="1" ht="15" x14ac:dyDescent="0.25">
      <c r="A1982" s="597"/>
      <c r="B1982" s="396" t="s">
        <v>1490</v>
      </c>
      <c r="C1982" s="397">
        <v>10</v>
      </c>
      <c r="D1982" s="236" t="s">
        <v>419</v>
      </c>
      <c r="E1982" s="174">
        <v>130000</v>
      </c>
      <c r="F1982" s="162">
        <f>E1982*C1982</f>
        <v>1300000</v>
      </c>
      <c r="G1982" s="202"/>
    </row>
    <row r="1983" spans="1:7" customFormat="1" ht="15.75" thickBot="1" x14ac:dyDescent="0.3">
      <c r="A1983" s="391"/>
      <c r="B1983" s="396" t="s">
        <v>2250</v>
      </c>
      <c r="C1983" s="599">
        <v>74</v>
      </c>
      <c r="D1983" s="236" t="s">
        <v>419</v>
      </c>
      <c r="E1983" s="174">
        <v>130000</v>
      </c>
      <c r="F1983" s="162">
        <f>E1983*C1983</f>
        <v>9620000</v>
      </c>
      <c r="G1983" s="399"/>
    </row>
    <row r="1984" spans="1:7" customFormat="1" ht="15.75" thickBot="1" x14ac:dyDescent="0.3">
      <c r="A1984" s="398"/>
      <c r="B1984" s="1784" t="s">
        <v>548</v>
      </c>
      <c r="C1984" s="1785"/>
      <c r="D1984" s="1785"/>
      <c r="E1984" s="1786"/>
      <c r="F1984" s="163">
        <f>SUM(F1981:F1983)</f>
        <v>11670000</v>
      </c>
      <c r="G1984" s="399"/>
    </row>
    <row r="1985" spans="1:11" customFormat="1" ht="15" x14ac:dyDescent="0.25">
      <c r="A1985" s="391" t="s">
        <v>2251</v>
      </c>
      <c r="B1985" s="360" t="s">
        <v>1491</v>
      </c>
      <c r="C1985" s="210"/>
      <c r="D1985" s="211"/>
      <c r="E1985" s="207"/>
      <c r="F1985" s="164"/>
      <c r="G1985" s="202"/>
    </row>
    <row r="1986" spans="1:11" customFormat="1" ht="16.5" x14ac:dyDescent="0.25">
      <c r="A1986" s="400"/>
      <c r="B1986" s="179" t="s">
        <v>2253</v>
      </c>
      <c r="C1986" s="210">
        <v>7531</v>
      </c>
      <c r="D1986" s="211" t="s">
        <v>2265</v>
      </c>
      <c r="E1986" s="178">
        <v>3000</v>
      </c>
      <c r="F1986" s="164">
        <f>E1986*C1986</f>
        <v>22593000</v>
      </c>
      <c r="G1986" s="202"/>
    </row>
    <row r="1987" spans="1:11" customFormat="1" ht="16.5" x14ac:dyDescent="0.25">
      <c r="A1987" s="400"/>
      <c r="B1987" s="181" t="s">
        <v>2266</v>
      </c>
      <c r="C1987" s="210">
        <v>13</v>
      </c>
      <c r="D1987" s="211" t="s">
        <v>843</v>
      </c>
      <c r="E1987" s="178">
        <v>325000</v>
      </c>
      <c r="F1987" s="164">
        <f>E1987*C1987</f>
        <v>4225000</v>
      </c>
      <c r="G1987" s="202"/>
    </row>
    <row r="1988" spans="1:11" customFormat="1" ht="16.5" x14ac:dyDescent="0.25">
      <c r="A1988" s="400"/>
      <c r="B1988" s="179" t="s">
        <v>2267</v>
      </c>
      <c r="C1988" s="210">
        <v>18</v>
      </c>
      <c r="D1988" s="211" t="s">
        <v>843</v>
      </c>
      <c r="E1988" s="178">
        <v>350000</v>
      </c>
      <c r="F1988" s="164">
        <f>E1988*C1988</f>
        <v>6300000</v>
      </c>
      <c r="G1988" s="202"/>
    </row>
    <row r="1989" spans="1:11" customFormat="1" ht="15.75" thickBot="1" x14ac:dyDescent="0.3">
      <c r="A1989" s="257"/>
      <c r="B1989" s="159"/>
      <c r="C1989" s="393"/>
      <c r="D1989" s="160"/>
      <c r="E1989" s="161"/>
      <c r="F1989" s="162"/>
      <c r="G1989" s="202"/>
    </row>
    <row r="1990" spans="1:11" customFormat="1" ht="15.75" thickBot="1" x14ac:dyDescent="0.3">
      <c r="A1990" s="210"/>
      <c r="B1990" s="1781" t="s">
        <v>548</v>
      </c>
      <c r="C1990" s="1782"/>
      <c r="D1990" s="1782"/>
      <c r="E1990" s="1783"/>
      <c r="F1990" s="163">
        <f>SUM(F1986:F1988)</f>
        <v>33118000</v>
      </c>
      <c r="G1990" s="399"/>
    </row>
    <row r="1991" spans="1:11" customFormat="1" ht="15.75" thickBot="1" x14ac:dyDescent="0.3">
      <c r="A1991" s="210"/>
      <c r="B1991" s="1781" t="s">
        <v>26</v>
      </c>
      <c r="C1991" s="1782"/>
      <c r="D1991" s="1782"/>
      <c r="E1991" s="1783"/>
      <c r="F1991" s="163">
        <f>F1990+F1984+F1979</f>
        <v>45980000</v>
      </c>
      <c r="G1991" s="399" t="s">
        <v>1711</v>
      </c>
      <c r="J1991" s="172">
        <f>F1991</f>
        <v>45980000</v>
      </c>
      <c r="K1991" s="172"/>
    </row>
    <row r="1992" spans="1:11" x14ac:dyDescent="0.2">
      <c r="A1992" s="1762" t="s">
        <v>549</v>
      </c>
      <c r="B1992" s="1762"/>
      <c r="C1992" s="188" t="s">
        <v>27</v>
      </c>
      <c r="D1992" s="1763" t="s">
        <v>1429</v>
      </c>
      <c r="E1992" s="1763"/>
      <c r="F1992" s="1763"/>
      <c r="G1992" s="188"/>
    </row>
    <row r="1993" spans="1:11" x14ac:dyDescent="0.2">
      <c r="A1993" s="1762" t="s">
        <v>28</v>
      </c>
      <c r="B1993" s="1762"/>
      <c r="C1993" s="188"/>
      <c r="D1993" s="1764" t="s">
        <v>2833</v>
      </c>
      <c r="E1993" s="1764"/>
      <c r="F1993" s="1764"/>
      <c r="G1993" s="188"/>
    </row>
    <row r="1994" spans="1:11" x14ac:dyDescent="0.2">
      <c r="A1994" s="186"/>
      <c r="B1994" s="187"/>
      <c r="C1994" s="188"/>
      <c r="D1994" s="189"/>
      <c r="E1994" s="218"/>
      <c r="F1994" s="218"/>
      <c r="G1994" s="188"/>
    </row>
    <row r="1995" spans="1:11" x14ac:dyDescent="0.2">
      <c r="A1995" s="186"/>
      <c r="B1995" s="187"/>
      <c r="C1995" s="188"/>
      <c r="D1995" s="189"/>
      <c r="E1995" s="218"/>
      <c r="F1995" s="218"/>
      <c r="G1995" s="188"/>
    </row>
    <row r="1996" spans="1:11" x14ac:dyDescent="0.2">
      <c r="A1996" s="1762"/>
      <c r="B1996" s="1762"/>
      <c r="C1996" s="188"/>
      <c r="D1996" s="189"/>
      <c r="E1996" s="1762"/>
      <c r="F1996" s="1762"/>
      <c r="G1996" s="188"/>
    </row>
    <row r="1997" spans="1:11" x14ac:dyDescent="0.2">
      <c r="A1997" s="1762" t="s">
        <v>29</v>
      </c>
      <c r="B1997" s="1762"/>
      <c r="C1997" s="188"/>
      <c r="D1997" s="1762" t="s">
        <v>2954</v>
      </c>
      <c r="E1997" s="1762"/>
      <c r="F1997" s="1762"/>
      <c r="G1997" s="188"/>
    </row>
    <row r="1998" spans="1:11" customFormat="1" ht="15" x14ac:dyDescent="0.25"/>
    <row r="1999" spans="1:11" customFormat="1" ht="15" x14ac:dyDescent="0.25"/>
    <row r="2000" spans="1:11" customFormat="1" ht="15" x14ac:dyDescent="0.25"/>
    <row r="2001" spans="1:7" customFormat="1" ht="15" x14ac:dyDescent="0.25"/>
    <row r="2002" spans="1:7" customFormat="1" ht="15" x14ac:dyDescent="0.25">
      <c r="A2002" s="1796" t="s">
        <v>995</v>
      </c>
      <c r="B2002" s="1796"/>
      <c r="C2002" s="1796"/>
      <c r="D2002" s="1796"/>
      <c r="E2002" s="1796"/>
      <c r="F2002" s="1796"/>
      <c r="G2002" s="1796"/>
    </row>
    <row r="2003" spans="1:7" customFormat="1" ht="15" x14ac:dyDescent="0.25">
      <c r="A2003" s="1796" t="s">
        <v>1</v>
      </c>
      <c r="B2003" s="1796"/>
      <c r="C2003" s="1796"/>
      <c r="D2003" s="1796"/>
      <c r="E2003" s="1796"/>
      <c r="F2003" s="1796"/>
      <c r="G2003" s="1796"/>
    </row>
    <row r="2004" spans="1:7" customFormat="1" ht="15" x14ac:dyDescent="0.25">
      <c r="A2004" s="1796" t="s">
        <v>1769</v>
      </c>
      <c r="B2004" s="1796"/>
      <c r="C2004" s="1796"/>
      <c r="D2004" s="1796"/>
      <c r="E2004" s="1796"/>
      <c r="F2004" s="1796"/>
      <c r="G2004" s="1796"/>
    </row>
    <row r="2005" spans="1:7" customFormat="1" ht="15" x14ac:dyDescent="0.25">
      <c r="A2005" s="374"/>
      <c r="B2005" s="375"/>
      <c r="C2005" s="376"/>
      <c r="D2005" s="376"/>
      <c r="E2005" s="377"/>
      <c r="F2005" s="377"/>
      <c r="G2005" s="377"/>
    </row>
    <row r="2006" spans="1:7" customFormat="1" ht="15" x14ac:dyDescent="0.25">
      <c r="A2006" s="377" t="s">
        <v>1483</v>
      </c>
      <c r="B2006" s="378"/>
      <c r="C2006" s="379"/>
      <c r="D2006" s="379"/>
      <c r="E2006" s="380"/>
      <c r="F2006" s="380"/>
      <c r="G2006" s="377"/>
    </row>
    <row r="2007" spans="1:7" customFormat="1" ht="24.75" x14ac:dyDescent="0.25">
      <c r="A2007" s="381" t="s">
        <v>712</v>
      </c>
      <c r="B2007" s="382" t="s">
        <v>1504</v>
      </c>
      <c r="C2007" s="379"/>
      <c r="D2007" s="379"/>
      <c r="E2007" s="380" t="s">
        <v>1484</v>
      </c>
      <c r="F2007" s="380"/>
      <c r="G2007" s="377"/>
    </row>
    <row r="2008" spans="1:7" customFormat="1" ht="75" x14ac:dyDescent="0.25">
      <c r="A2008" s="383" t="s">
        <v>749</v>
      </c>
      <c r="B2008" s="384" t="s">
        <v>2492</v>
      </c>
      <c r="C2008" s="379"/>
      <c r="D2008" s="379"/>
      <c r="E2008" s="380" t="s">
        <v>1485</v>
      </c>
      <c r="F2008" s="380"/>
      <c r="G2008" s="381"/>
    </row>
    <row r="2009" spans="1:7" customFormat="1" ht="30" x14ac:dyDescent="0.25">
      <c r="A2009" s="383" t="s">
        <v>1486</v>
      </c>
      <c r="B2009" s="384" t="s">
        <v>2280</v>
      </c>
      <c r="C2009" s="379"/>
      <c r="D2009" s="379"/>
      <c r="E2009" s="380"/>
      <c r="F2009" s="380"/>
      <c r="G2009" s="381"/>
    </row>
    <row r="2010" spans="1:7" customFormat="1" ht="15" x14ac:dyDescent="0.25">
      <c r="A2010" s="377" t="s">
        <v>1487</v>
      </c>
      <c r="B2010" s="378" t="s">
        <v>61</v>
      </c>
      <c r="C2010" s="379"/>
      <c r="D2010" s="379"/>
      <c r="E2010" s="377"/>
      <c r="F2010" s="377"/>
      <c r="G2010" s="377"/>
    </row>
    <row r="2011" spans="1:7" customFormat="1" ht="15" x14ac:dyDescent="0.25">
      <c r="A2011" s="381" t="s">
        <v>62</v>
      </c>
      <c r="B2011" s="382" t="s">
        <v>63</v>
      </c>
      <c r="C2011" s="379"/>
      <c r="D2011" s="379"/>
      <c r="E2011" s="381"/>
      <c r="F2011" s="381"/>
      <c r="G2011" s="381"/>
    </row>
    <row r="2012" spans="1:7" customFormat="1" ht="15" x14ac:dyDescent="0.25">
      <c r="A2012" s="385"/>
      <c r="B2012" s="386"/>
      <c r="C2012" s="387"/>
      <c r="D2012" s="387"/>
      <c r="E2012" s="385"/>
      <c r="F2012" s="385"/>
      <c r="G2012" s="385"/>
    </row>
    <row r="2013" spans="1:7" customFormat="1" ht="24" x14ac:dyDescent="0.25">
      <c r="A2013" s="388" t="s">
        <v>30</v>
      </c>
      <c r="B2013" s="388" t="s">
        <v>11</v>
      </c>
      <c r="C2013" s="1787" t="s">
        <v>12</v>
      </c>
      <c r="D2013" s="1788"/>
      <c r="E2013" s="152" t="s">
        <v>13</v>
      </c>
      <c r="F2013" s="389" t="s">
        <v>14</v>
      </c>
      <c r="G2013" s="390" t="s">
        <v>266</v>
      </c>
    </row>
    <row r="2014" spans="1:7" customFormat="1" ht="15" x14ac:dyDescent="0.25">
      <c r="A2014" s="197">
        <v>1</v>
      </c>
      <c r="B2014" s="198">
        <v>2</v>
      </c>
      <c r="C2014" s="1773">
        <v>3</v>
      </c>
      <c r="D2014" s="1774"/>
      <c r="E2014" s="2">
        <v>4</v>
      </c>
      <c r="F2014" s="205">
        <v>5</v>
      </c>
      <c r="G2014" s="202">
        <v>7</v>
      </c>
    </row>
    <row r="2015" spans="1:7" customFormat="1" ht="15" x14ac:dyDescent="0.25">
      <c r="A2015" s="391" t="s">
        <v>2244</v>
      </c>
      <c r="B2015" s="153" t="s">
        <v>1505</v>
      </c>
      <c r="C2015" s="154"/>
      <c r="D2015" s="155"/>
      <c r="E2015" s="156"/>
      <c r="F2015" s="157"/>
      <c r="G2015" s="202"/>
    </row>
    <row r="2016" spans="1:7" customFormat="1" ht="15" x14ac:dyDescent="0.25">
      <c r="A2016" s="391" t="s">
        <v>2245</v>
      </c>
      <c r="B2016" s="153" t="s">
        <v>2246</v>
      </c>
      <c r="C2016" s="154"/>
      <c r="D2016" s="155"/>
      <c r="E2016" s="156"/>
      <c r="F2016" s="157"/>
      <c r="G2016" s="202"/>
    </row>
    <row r="2017" spans="1:19" customFormat="1" ht="24" x14ac:dyDescent="0.25">
      <c r="A2017" s="391" t="s">
        <v>2247</v>
      </c>
      <c r="B2017" s="153" t="s">
        <v>1499</v>
      </c>
      <c r="C2017" s="392"/>
      <c r="D2017" s="155"/>
      <c r="E2017" s="156"/>
      <c r="F2017" s="157"/>
      <c r="G2017" s="202"/>
    </row>
    <row r="2018" spans="1:19" customFormat="1" ht="15.75" thickBot="1" x14ac:dyDescent="0.3">
      <c r="A2018" s="257"/>
      <c r="B2018" s="158" t="s">
        <v>2248</v>
      </c>
      <c r="C2018" s="392">
        <v>1</v>
      </c>
      <c r="D2018" s="155" t="s">
        <v>222</v>
      </c>
      <c r="E2018" s="156">
        <v>33800</v>
      </c>
      <c r="F2018" s="157">
        <f>E2018*C2018</f>
        <v>33800</v>
      </c>
      <c r="G2018" s="202"/>
    </row>
    <row r="2019" spans="1:19" customFormat="1" ht="15.75" thickBot="1" x14ac:dyDescent="0.3">
      <c r="A2019" s="207"/>
      <c r="B2019" s="1781" t="s">
        <v>548</v>
      </c>
      <c r="C2019" s="1782"/>
      <c r="D2019" s="1782"/>
      <c r="E2019" s="1783"/>
      <c r="F2019" s="163">
        <f>SUM(F2018:F2018)</f>
        <v>33800</v>
      </c>
      <c r="G2019" s="202"/>
    </row>
    <row r="2020" spans="1:19" customFormat="1" ht="15" x14ac:dyDescent="0.25">
      <c r="A2020" s="391" t="s">
        <v>2249</v>
      </c>
      <c r="B2020" s="394" t="s">
        <v>1488</v>
      </c>
      <c r="C2020" s="210"/>
      <c r="D2020" s="211"/>
      <c r="E2020" s="207"/>
      <c r="F2020" s="164"/>
      <c r="G2020" s="202"/>
    </row>
    <row r="2021" spans="1:19" customFormat="1" ht="15.75" thickBot="1" x14ac:dyDescent="0.3">
      <c r="A2021" s="597"/>
      <c r="B2021" s="396" t="s">
        <v>1490</v>
      </c>
      <c r="C2021" s="397">
        <v>13</v>
      </c>
      <c r="D2021" s="236" t="s">
        <v>419</v>
      </c>
      <c r="E2021" s="174">
        <v>130000</v>
      </c>
      <c r="F2021" s="162">
        <f>E2021*C2021</f>
        <v>1690000</v>
      </c>
      <c r="G2021" s="202"/>
    </row>
    <row r="2022" spans="1:19" customFormat="1" ht="15.75" thickBot="1" x14ac:dyDescent="0.3">
      <c r="A2022" s="398"/>
      <c r="B2022" s="1784" t="s">
        <v>548</v>
      </c>
      <c r="C2022" s="1785"/>
      <c r="D2022" s="1785"/>
      <c r="E2022" s="2015"/>
      <c r="F2022" s="608">
        <f>SUM(F2021:F2021)</f>
        <v>1690000</v>
      </c>
      <c r="G2022" s="399"/>
    </row>
    <row r="2023" spans="1:19" customFormat="1" ht="15.75" thickBot="1" x14ac:dyDescent="0.3">
      <c r="A2023" s="210"/>
      <c r="B2023" s="1781" t="s">
        <v>26</v>
      </c>
      <c r="C2023" s="1782"/>
      <c r="D2023" s="1782"/>
      <c r="E2023" s="1783"/>
      <c r="F2023" s="163">
        <f>F2022+F2019</f>
        <v>1723800</v>
      </c>
      <c r="G2023" s="399" t="s">
        <v>1711</v>
      </c>
      <c r="J2023" s="172">
        <f>F2023</f>
        <v>1723800</v>
      </c>
      <c r="K2023" s="172"/>
      <c r="S2023" s="172"/>
    </row>
    <row r="2024" spans="1:19" customFormat="1" ht="15" x14ac:dyDescent="0.25"/>
    <row r="2025" spans="1:19" x14ac:dyDescent="0.2">
      <c r="A2025" s="1762" t="s">
        <v>549</v>
      </c>
      <c r="B2025" s="1762"/>
      <c r="C2025" s="188" t="s">
        <v>27</v>
      </c>
      <c r="D2025" s="1763" t="s">
        <v>1429</v>
      </c>
      <c r="E2025" s="1763"/>
      <c r="F2025" s="1763"/>
      <c r="G2025" s="188"/>
    </row>
    <row r="2026" spans="1:19" x14ac:dyDescent="0.2">
      <c r="A2026" s="1762" t="s">
        <v>28</v>
      </c>
      <c r="B2026" s="1762"/>
      <c r="C2026" s="188"/>
      <c r="D2026" s="1764" t="s">
        <v>2833</v>
      </c>
      <c r="E2026" s="1764"/>
      <c r="F2026" s="1764"/>
      <c r="G2026" s="188"/>
    </row>
    <row r="2027" spans="1:19" x14ac:dyDescent="0.2">
      <c r="A2027" s="186"/>
      <c r="B2027" s="187"/>
      <c r="C2027" s="188"/>
      <c r="D2027" s="189"/>
      <c r="E2027" s="218"/>
      <c r="F2027" s="218"/>
      <c r="G2027" s="188"/>
    </row>
    <row r="2028" spans="1:19" x14ac:dyDescent="0.2">
      <c r="A2028" s="186"/>
      <c r="B2028" s="187"/>
      <c r="C2028" s="188"/>
      <c r="D2028" s="189"/>
      <c r="E2028" s="218"/>
      <c r="F2028" s="218"/>
      <c r="G2028" s="188"/>
    </row>
    <row r="2029" spans="1:19" x14ac:dyDescent="0.2">
      <c r="A2029" s="1762"/>
      <c r="B2029" s="1762"/>
      <c r="C2029" s="188"/>
      <c r="D2029" s="189"/>
      <c r="E2029" s="1762"/>
      <c r="F2029" s="1762"/>
      <c r="G2029" s="188"/>
    </row>
    <row r="2030" spans="1:19" x14ac:dyDescent="0.2">
      <c r="A2030" s="1762" t="s">
        <v>29</v>
      </c>
      <c r="B2030" s="1762"/>
      <c r="C2030" s="188"/>
      <c r="D2030" s="1762" t="s">
        <v>2954</v>
      </c>
      <c r="E2030" s="1762"/>
      <c r="F2030" s="1762"/>
      <c r="G2030" s="188"/>
    </row>
    <row r="2031" spans="1:19" customFormat="1" ht="15" x14ac:dyDescent="0.25"/>
    <row r="2032" spans="1:19" customFormat="1" ht="15" x14ac:dyDescent="0.25"/>
    <row r="2033" spans="1:7" customFormat="1" ht="15" x14ac:dyDescent="0.25"/>
    <row r="2034" spans="1:7" customFormat="1" ht="15" x14ac:dyDescent="0.25">
      <c r="A2034" s="1796" t="s">
        <v>995</v>
      </c>
      <c r="B2034" s="1796"/>
      <c r="C2034" s="1796"/>
      <c r="D2034" s="1796"/>
      <c r="E2034" s="1796"/>
      <c r="F2034" s="1796"/>
      <c r="G2034" s="1796"/>
    </row>
    <row r="2035" spans="1:7" customFormat="1" ht="15" x14ac:dyDescent="0.25">
      <c r="A2035" s="1796" t="s">
        <v>1</v>
      </c>
      <c r="B2035" s="1796"/>
      <c r="C2035" s="1796"/>
      <c r="D2035" s="1796"/>
      <c r="E2035" s="1796"/>
      <c r="F2035" s="1796"/>
      <c r="G2035" s="1796"/>
    </row>
    <row r="2036" spans="1:7" customFormat="1" ht="15" x14ac:dyDescent="0.25">
      <c r="A2036" s="1796" t="s">
        <v>1769</v>
      </c>
      <c r="B2036" s="1796"/>
      <c r="C2036" s="1796"/>
      <c r="D2036" s="1796"/>
      <c r="E2036" s="1796"/>
      <c r="F2036" s="1796"/>
      <c r="G2036" s="1796"/>
    </row>
    <row r="2037" spans="1:7" customFormat="1" ht="15" x14ac:dyDescent="0.25">
      <c r="A2037" s="374"/>
      <c r="B2037" s="375"/>
      <c r="C2037" s="376"/>
      <c r="D2037" s="376"/>
      <c r="E2037" s="377"/>
      <c r="F2037" s="377"/>
      <c r="G2037" s="377"/>
    </row>
    <row r="2038" spans="1:7" customFormat="1" ht="15" x14ac:dyDescent="0.25">
      <c r="A2038" s="377" t="s">
        <v>1483</v>
      </c>
      <c r="B2038" s="378"/>
      <c r="C2038" s="379"/>
      <c r="D2038" s="379"/>
      <c r="E2038" s="380"/>
      <c r="F2038" s="380"/>
      <c r="G2038" s="377"/>
    </row>
    <row r="2039" spans="1:7" customFormat="1" ht="24.75" x14ac:dyDescent="0.25">
      <c r="A2039" s="381" t="s">
        <v>712</v>
      </c>
      <c r="B2039" s="382" t="s">
        <v>1504</v>
      </c>
      <c r="C2039" s="379"/>
      <c r="D2039" s="379"/>
      <c r="E2039" s="380" t="s">
        <v>1484</v>
      </c>
      <c r="F2039" s="380"/>
      <c r="G2039" s="377"/>
    </row>
    <row r="2040" spans="1:7" customFormat="1" ht="90" x14ac:dyDescent="0.25">
      <c r="A2040" s="383" t="s">
        <v>749</v>
      </c>
      <c r="B2040" s="384" t="s">
        <v>2281</v>
      </c>
      <c r="C2040" s="379"/>
      <c r="D2040" s="379"/>
      <c r="E2040" s="380" t="s">
        <v>1485</v>
      </c>
      <c r="F2040" s="380"/>
      <c r="G2040" s="381"/>
    </row>
    <row r="2041" spans="1:7" customFormat="1" ht="15" x14ac:dyDescent="0.25">
      <c r="A2041" s="383" t="s">
        <v>1486</v>
      </c>
      <c r="B2041" s="384" t="s">
        <v>2282</v>
      </c>
      <c r="C2041" s="379"/>
      <c r="D2041" s="379"/>
      <c r="E2041" s="380"/>
      <c r="F2041" s="380"/>
      <c r="G2041" s="381"/>
    </row>
    <row r="2042" spans="1:7" customFormat="1" ht="15" x14ac:dyDescent="0.25">
      <c r="A2042" s="377" t="s">
        <v>1487</v>
      </c>
      <c r="B2042" s="378" t="s">
        <v>61</v>
      </c>
      <c r="C2042" s="379"/>
      <c r="D2042" s="379"/>
      <c r="E2042" s="377"/>
      <c r="F2042" s="377"/>
      <c r="G2042" s="377"/>
    </row>
    <row r="2043" spans="1:7" customFormat="1" ht="15" x14ac:dyDescent="0.25">
      <c r="A2043" s="381" t="s">
        <v>62</v>
      </c>
      <c r="B2043" s="382" t="s">
        <v>63</v>
      </c>
      <c r="C2043" s="379"/>
      <c r="D2043" s="379"/>
      <c r="E2043" s="381"/>
      <c r="F2043" s="381"/>
      <c r="G2043" s="381"/>
    </row>
    <row r="2044" spans="1:7" customFormat="1" ht="15" x14ac:dyDescent="0.25">
      <c r="A2044" s="385"/>
      <c r="B2044" s="386"/>
      <c r="C2044" s="387"/>
      <c r="D2044" s="387"/>
      <c r="E2044" s="385"/>
      <c r="F2044" s="385"/>
      <c r="G2044" s="385"/>
    </row>
    <row r="2045" spans="1:7" customFormat="1" ht="24" x14ac:dyDescent="0.25">
      <c r="A2045" s="388" t="s">
        <v>30</v>
      </c>
      <c r="B2045" s="388" t="s">
        <v>11</v>
      </c>
      <c r="C2045" s="1787" t="s">
        <v>12</v>
      </c>
      <c r="D2045" s="1788"/>
      <c r="E2045" s="152" t="s">
        <v>13</v>
      </c>
      <c r="F2045" s="389" t="s">
        <v>14</v>
      </c>
      <c r="G2045" s="390" t="s">
        <v>266</v>
      </c>
    </row>
    <row r="2046" spans="1:7" customFormat="1" ht="15" x14ac:dyDescent="0.25">
      <c r="A2046" s="197">
        <v>1</v>
      </c>
      <c r="B2046" s="198">
        <v>2</v>
      </c>
      <c r="C2046" s="1773">
        <v>3</v>
      </c>
      <c r="D2046" s="1774"/>
      <c r="E2046" s="2">
        <v>4</v>
      </c>
      <c r="F2046" s="205">
        <v>5</v>
      </c>
      <c r="G2046" s="202">
        <v>7</v>
      </c>
    </row>
    <row r="2047" spans="1:7" customFormat="1" ht="15" x14ac:dyDescent="0.25">
      <c r="A2047" s="391" t="s">
        <v>2244</v>
      </c>
      <c r="B2047" s="153" t="s">
        <v>1505</v>
      </c>
      <c r="C2047" s="154"/>
      <c r="D2047" s="155"/>
      <c r="E2047" s="156"/>
      <c r="F2047" s="157"/>
      <c r="G2047" s="202"/>
    </row>
    <row r="2048" spans="1:7" customFormat="1" ht="15" x14ac:dyDescent="0.25">
      <c r="A2048" s="391" t="s">
        <v>2245</v>
      </c>
      <c r="B2048" s="153" t="s">
        <v>2246</v>
      </c>
      <c r="C2048" s="154"/>
      <c r="D2048" s="155"/>
      <c r="E2048" s="156"/>
      <c r="F2048" s="157"/>
      <c r="G2048" s="202"/>
    </row>
    <row r="2049" spans="1:8" customFormat="1" ht="24" x14ac:dyDescent="0.25">
      <c r="A2049" s="391" t="s">
        <v>2247</v>
      </c>
      <c r="B2049" s="153" t="s">
        <v>1499</v>
      </c>
      <c r="C2049" s="392"/>
      <c r="D2049" s="155"/>
      <c r="E2049" s="156"/>
      <c r="F2049" s="157"/>
      <c r="G2049" s="202"/>
    </row>
    <row r="2050" spans="1:8" customFormat="1" ht="15.75" thickBot="1" x14ac:dyDescent="0.3">
      <c r="A2050" s="257"/>
      <c r="B2050" s="158" t="s">
        <v>2248</v>
      </c>
      <c r="C2050" s="392">
        <v>1</v>
      </c>
      <c r="D2050" s="155" t="s">
        <v>222</v>
      </c>
      <c r="E2050" s="156">
        <v>381760</v>
      </c>
      <c r="F2050" s="157">
        <f>E2050*C2050</f>
        <v>381760</v>
      </c>
      <c r="G2050" s="202"/>
    </row>
    <row r="2051" spans="1:8" customFormat="1" ht="15.75" thickBot="1" x14ac:dyDescent="0.3">
      <c r="A2051" s="207"/>
      <c r="B2051" s="1781" t="s">
        <v>548</v>
      </c>
      <c r="C2051" s="1782"/>
      <c r="D2051" s="1782"/>
      <c r="E2051" s="1783"/>
      <c r="F2051" s="163">
        <f>SUM(F2050:F2050)</f>
        <v>381760</v>
      </c>
      <c r="G2051" s="202"/>
    </row>
    <row r="2052" spans="1:8" customFormat="1" ht="15" x14ac:dyDescent="0.25">
      <c r="A2052" s="391" t="s">
        <v>2249</v>
      </c>
      <c r="B2052" s="394" t="s">
        <v>1488</v>
      </c>
      <c r="C2052" s="210"/>
      <c r="D2052" s="211"/>
      <c r="E2052" s="207"/>
      <c r="F2052" s="164"/>
      <c r="G2052" s="202"/>
    </row>
    <row r="2053" spans="1:8" customFormat="1" ht="15" x14ac:dyDescent="0.25">
      <c r="A2053" s="391"/>
      <c r="B2053" s="395" t="s">
        <v>1489</v>
      </c>
      <c r="C2053" s="205">
        <v>16</v>
      </c>
      <c r="D2053" s="206" t="s">
        <v>419</v>
      </c>
      <c r="E2053" s="175">
        <v>150000</v>
      </c>
      <c r="F2053" s="157">
        <f>E2053*C2053</f>
        <v>2400000</v>
      </c>
      <c r="G2053" s="202"/>
    </row>
    <row r="2054" spans="1:8" customFormat="1" ht="15" x14ac:dyDescent="0.25">
      <c r="A2054" s="391"/>
      <c r="B2054" s="396" t="s">
        <v>1490</v>
      </c>
      <c r="C2054" s="397">
        <v>49</v>
      </c>
      <c r="D2054" s="236" t="s">
        <v>419</v>
      </c>
      <c r="E2054" s="174">
        <v>130000</v>
      </c>
      <c r="F2054" s="162">
        <f>E2054*C2054</f>
        <v>6370000</v>
      </c>
      <c r="G2054" s="202"/>
    </row>
    <row r="2055" spans="1:8" customFormat="1" ht="15.75" thickBot="1" x14ac:dyDescent="0.3">
      <c r="A2055" s="398"/>
      <c r="B2055" s="221" t="s">
        <v>2250</v>
      </c>
      <c r="C2055" s="189">
        <v>10</v>
      </c>
      <c r="D2055" s="189" t="s">
        <v>419</v>
      </c>
      <c r="E2055" s="602">
        <v>130000</v>
      </c>
      <c r="F2055" s="162">
        <f>E2055*C2055</f>
        <v>1300000</v>
      </c>
      <c r="G2055" s="399"/>
      <c r="H2055" s="83"/>
    </row>
    <row r="2056" spans="1:8" customFormat="1" ht="15.75" thickBot="1" x14ac:dyDescent="0.3">
      <c r="A2056" s="398"/>
      <c r="B2056" s="1784" t="s">
        <v>548</v>
      </c>
      <c r="C2056" s="1785"/>
      <c r="D2056" s="1785"/>
      <c r="E2056" s="1786"/>
      <c r="F2056" s="163">
        <f>SUM(F2053:F2055)</f>
        <v>10070000</v>
      </c>
      <c r="G2056" s="399"/>
    </row>
    <row r="2057" spans="1:8" customFormat="1" ht="15" x14ac:dyDescent="0.25">
      <c r="A2057" s="391" t="s">
        <v>2251</v>
      </c>
      <c r="B2057" s="360" t="s">
        <v>1491</v>
      </c>
      <c r="C2057" s="210"/>
      <c r="D2057" s="211"/>
      <c r="E2057" s="207"/>
      <c r="F2057" s="164"/>
      <c r="G2057" s="202"/>
      <c r="H2057" s="32"/>
    </row>
    <row r="2058" spans="1:8" customFormat="1" ht="16.5" x14ac:dyDescent="0.25">
      <c r="A2058" s="400"/>
      <c r="B2058" s="179" t="s">
        <v>2270</v>
      </c>
      <c r="C2058">
        <v>0.5</v>
      </c>
      <c r="D2058" s="180" t="s">
        <v>843</v>
      </c>
      <c r="E2058" s="178">
        <v>2350000</v>
      </c>
      <c r="F2058" s="164">
        <f>E2058*C2058</f>
        <v>1175000</v>
      </c>
      <c r="G2058" s="202"/>
    </row>
    <row r="2059" spans="1:8" customFormat="1" ht="16.5" x14ac:dyDescent="0.25">
      <c r="A2059" s="400"/>
      <c r="B2059" s="181" t="s">
        <v>2283</v>
      </c>
      <c r="C2059">
        <v>1</v>
      </c>
      <c r="D2059" s="180" t="s">
        <v>1494</v>
      </c>
      <c r="E2059" s="178">
        <v>35000</v>
      </c>
      <c r="F2059" s="164">
        <f t="shared" ref="F2059:F2064" si="27">E2059*C2059</f>
        <v>35000</v>
      </c>
      <c r="G2059" s="202"/>
    </row>
    <row r="2060" spans="1:8" customFormat="1" ht="16.5" x14ac:dyDescent="0.25">
      <c r="A2060" s="400"/>
      <c r="B2060" s="179" t="s">
        <v>2284</v>
      </c>
      <c r="C2060">
        <v>414</v>
      </c>
      <c r="D2060" s="180" t="s">
        <v>1494</v>
      </c>
      <c r="E2060" s="178">
        <v>13700</v>
      </c>
      <c r="F2060" s="164">
        <f t="shared" si="27"/>
        <v>5671800</v>
      </c>
      <c r="G2060" s="399"/>
    </row>
    <row r="2061" spans="1:8" customFormat="1" ht="16.5" x14ac:dyDescent="0.25">
      <c r="A2061" s="400"/>
      <c r="B2061" s="181" t="s">
        <v>2277</v>
      </c>
      <c r="C2061">
        <v>6</v>
      </c>
      <c r="D2061" s="180" t="s">
        <v>1494</v>
      </c>
      <c r="E2061" s="178">
        <v>35000</v>
      </c>
      <c r="F2061" s="164">
        <f t="shared" si="27"/>
        <v>210000</v>
      </c>
      <c r="G2061" s="399"/>
    </row>
    <row r="2062" spans="1:8" customFormat="1" ht="16.5" x14ac:dyDescent="0.25">
      <c r="A2062" s="400"/>
      <c r="B2062" s="179" t="s">
        <v>2253</v>
      </c>
      <c r="C2062">
        <v>552</v>
      </c>
      <c r="D2062" s="180" t="s">
        <v>1494</v>
      </c>
      <c r="E2062" s="178">
        <v>3000</v>
      </c>
      <c r="F2062" s="164">
        <f t="shared" si="27"/>
        <v>1656000</v>
      </c>
      <c r="G2062" s="399"/>
    </row>
    <row r="2063" spans="1:8" customFormat="1" ht="16.5" x14ac:dyDescent="0.25">
      <c r="A2063" s="400"/>
      <c r="B2063" s="181" t="s">
        <v>2266</v>
      </c>
      <c r="C2063">
        <v>1</v>
      </c>
      <c r="D2063" s="180" t="s">
        <v>843</v>
      </c>
      <c r="E2063" s="178">
        <v>325000</v>
      </c>
      <c r="F2063" s="164">
        <f t="shared" si="27"/>
        <v>325000</v>
      </c>
      <c r="G2063" s="399"/>
    </row>
    <row r="2064" spans="1:8" customFormat="1" ht="16.5" x14ac:dyDescent="0.25">
      <c r="A2064" s="400"/>
      <c r="B2064" s="179" t="s">
        <v>2267</v>
      </c>
      <c r="C2064">
        <v>2</v>
      </c>
      <c r="D2064" s="180" t="s">
        <v>843</v>
      </c>
      <c r="E2064" s="178">
        <v>350000</v>
      </c>
      <c r="F2064" s="164">
        <f t="shared" si="27"/>
        <v>700000</v>
      </c>
      <c r="G2064" s="399"/>
    </row>
    <row r="2065" spans="1:11" customFormat="1" ht="17.25" thickBot="1" x14ac:dyDescent="0.3">
      <c r="A2065" s="400"/>
      <c r="B2065" s="603"/>
      <c r="C2065" s="210"/>
      <c r="D2065" s="211"/>
      <c r="E2065" s="178"/>
      <c r="F2065" s="164"/>
      <c r="G2065" s="1"/>
    </row>
    <row r="2066" spans="1:11" customFormat="1" ht="15.75" thickBot="1" x14ac:dyDescent="0.3">
      <c r="A2066" s="210"/>
      <c r="B2066" s="1781" t="s">
        <v>548</v>
      </c>
      <c r="C2066" s="1782"/>
      <c r="D2066" s="1782"/>
      <c r="E2066" s="1783"/>
      <c r="F2066" s="163">
        <f>SUM(F2058:F2064)</f>
        <v>9772800</v>
      </c>
      <c r="G2066" s="399"/>
    </row>
    <row r="2067" spans="1:11" customFormat="1" ht="15.75" thickBot="1" x14ac:dyDescent="0.3">
      <c r="A2067" s="210"/>
      <c r="B2067" s="1781" t="s">
        <v>26</v>
      </c>
      <c r="C2067" s="1782"/>
      <c r="D2067" s="1782"/>
      <c r="E2067" s="1783"/>
      <c r="F2067" s="163">
        <f>F2066+F2056+F2051</f>
        <v>20224560</v>
      </c>
      <c r="G2067" s="399" t="s">
        <v>1711</v>
      </c>
      <c r="J2067" s="172">
        <f>F2067</f>
        <v>20224560</v>
      </c>
      <c r="K2067" s="172"/>
    </row>
    <row r="2068" spans="1:11" x14ac:dyDescent="0.2">
      <c r="A2068" s="1762" t="s">
        <v>549</v>
      </c>
      <c r="B2068" s="1762"/>
      <c r="C2068" s="188" t="s">
        <v>27</v>
      </c>
      <c r="D2068" s="1763" t="s">
        <v>1429</v>
      </c>
      <c r="E2068" s="1763"/>
      <c r="F2068" s="1763"/>
      <c r="G2068" s="188"/>
    </row>
    <row r="2069" spans="1:11" x14ac:dyDescent="0.2">
      <c r="A2069" s="1762" t="s">
        <v>28</v>
      </c>
      <c r="B2069" s="1762"/>
      <c r="C2069" s="188"/>
      <c r="D2069" s="1764" t="s">
        <v>2833</v>
      </c>
      <c r="E2069" s="1764"/>
      <c r="F2069" s="1764"/>
      <c r="G2069" s="188"/>
    </row>
    <row r="2070" spans="1:11" x14ac:dyDescent="0.2">
      <c r="A2070" s="186"/>
      <c r="B2070" s="187"/>
      <c r="C2070" s="188"/>
      <c r="D2070" s="189"/>
      <c r="E2070" s="218"/>
      <c r="F2070" s="218"/>
      <c r="G2070" s="188"/>
    </row>
    <row r="2071" spans="1:11" x14ac:dyDescent="0.2">
      <c r="A2071" s="186"/>
      <c r="B2071" s="187"/>
      <c r="C2071" s="188"/>
      <c r="D2071" s="189"/>
      <c r="E2071" s="218"/>
      <c r="F2071" s="218"/>
      <c r="G2071" s="188"/>
    </row>
    <row r="2072" spans="1:11" x14ac:dyDescent="0.2">
      <c r="A2072" s="1762"/>
      <c r="B2072" s="1762"/>
      <c r="C2072" s="188"/>
      <c r="D2072" s="189"/>
      <c r="E2072" s="1762"/>
      <c r="F2072" s="1762"/>
      <c r="G2072" s="188"/>
    </row>
    <row r="2073" spans="1:11" x14ac:dyDescent="0.2">
      <c r="A2073" s="1762" t="s">
        <v>29</v>
      </c>
      <c r="B2073" s="1762"/>
      <c r="C2073" s="188"/>
      <c r="D2073" s="1762" t="s">
        <v>2954</v>
      </c>
      <c r="E2073" s="1762"/>
      <c r="F2073" s="1762"/>
      <c r="G2073" s="188"/>
    </row>
    <row r="2074" spans="1:11" customFormat="1" ht="15" x14ac:dyDescent="0.25"/>
    <row r="2075" spans="1:11" customFormat="1" ht="15" x14ac:dyDescent="0.25">
      <c r="A2075" s="1796" t="s">
        <v>995</v>
      </c>
      <c r="B2075" s="1796"/>
      <c r="C2075" s="1796"/>
      <c r="D2075" s="1796"/>
      <c r="E2075" s="1796"/>
      <c r="F2075" s="1796"/>
      <c r="G2075" s="1796"/>
    </row>
    <row r="2076" spans="1:11" customFormat="1" ht="15" x14ac:dyDescent="0.25">
      <c r="A2076" s="1796" t="s">
        <v>1</v>
      </c>
      <c r="B2076" s="1796"/>
      <c r="C2076" s="1796"/>
      <c r="D2076" s="1796"/>
      <c r="E2076" s="1796"/>
      <c r="F2076" s="1796"/>
      <c r="G2076" s="1796"/>
    </row>
    <row r="2077" spans="1:11" customFormat="1" ht="15" x14ac:dyDescent="0.25">
      <c r="A2077" s="1796" t="s">
        <v>1769</v>
      </c>
      <c r="B2077" s="1796"/>
      <c r="C2077" s="1796"/>
      <c r="D2077" s="1796"/>
      <c r="E2077" s="1796"/>
      <c r="F2077" s="1796"/>
      <c r="G2077" s="1796"/>
    </row>
    <row r="2078" spans="1:11" customFormat="1" ht="15" x14ac:dyDescent="0.25">
      <c r="A2078" s="374"/>
      <c r="B2078" s="375"/>
      <c r="C2078" s="376"/>
      <c r="D2078" s="376"/>
      <c r="E2078" s="377"/>
      <c r="F2078" s="377"/>
      <c r="G2078" s="377"/>
    </row>
    <row r="2079" spans="1:11" customFormat="1" ht="15" x14ac:dyDescent="0.25">
      <c r="A2079" s="377" t="s">
        <v>1483</v>
      </c>
      <c r="B2079" s="378"/>
      <c r="C2079" s="379"/>
      <c r="D2079" s="379"/>
      <c r="E2079" s="380"/>
      <c r="F2079" s="380"/>
      <c r="G2079" s="377"/>
    </row>
    <row r="2080" spans="1:11" customFormat="1" ht="24.75" x14ac:dyDescent="0.25">
      <c r="A2080" s="381" t="s">
        <v>712</v>
      </c>
      <c r="B2080" s="382" t="s">
        <v>1504</v>
      </c>
      <c r="C2080" s="379"/>
      <c r="D2080" s="379"/>
      <c r="E2080" s="380" t="s">
        <v>1484</v>
      </c>
      <c r="F2080" s="380"/>
      <c r="G2080" s="377"/>
    </row>
    <row r="2081" spans="1:7" customFormat="1" ht="75" x14ac:dyDescent="0.25">
      <c r="A2081" s="383" t="s">
        <v>749</v>
      </c>
      <c r="B2081" s="384" t="s">
        <v>2285</v>
      </c>
      <c r="C2081" s="379"/>
      <c r="D2081" s="379"/>
      <c r="E2081" s="380" t="s">
        <v>1485</v>
      </c>
      <c r="F2081" s="380"/>
      <c r="G2081" s="381"/>
    </row>
    <row r="2082" spans="1:7" customFormat="1" ht="15" x14ac:dyDescent="0.25">
      <c r="A2082" s="383" t="s">
        <v>1486</v>
      </c>
      <c r="B2082" s="384" t="s">
        <v>2515</v>
      </c>
      <c r="C2082" s="379"/>
      <c r="D2082" s="379"/>
      <c r="E2082" s="380"/>
      <c r="F2082" s="380"/>
      <c r="G2082" s="381"/>
    </row>
    <row r="2083" spans="1:7" customFormat="1" ht="15" x14ac:dyDescent="0.25">
      <c r="A2083" s="377" t="s">
        <v>1487</v>
      </c>
      <c r="B2083" s="378" t="s">
        <v>61</v>
      </c>
      <c r="C2083" s="379"/>
      <c r="D2083" s="379"/>
      <c r="E2083" s="377"/>
      <c r="F2083" s="377"/>
      <c r="G2083" s="377"/>
    </row>
    <row r="2084" spans="1:7" customFormat="1" ht="15" x14ac:dyDescent="0.25">
      <c r="A2084" s="381" t="s">
        <v>62</v>
      </c>
      <c r="B2084" s="382" t="s">
        <v>63</v>
      </c>
      <c r="C2084" s="379"/>
      <c r="D2084" s="379"/>
      <c r="E2084" s="381"/>
      <c r="F2084" s="381"/>
      <c r="G2084" s="381"/>
    </row>
    <row r="2085" spans="1:7" customFormat="1" ht="15" x14ac:dyDescent="0.25">
      <c r="A2085" s="385"/>
      <c r="B2085" s="386"/>
      <c r="C2085" s="387"/>
      <c r="D2085" s="387"/>
      <c r="E2085" s="385"/>
      <c r="F2085" s="385"/>
      <c r="G2085" s="385"/>
    </row>
    <row r="2086" spans="1:7" customFormat="1" ht="24" x14ac:dyDescent="0.25">
      <c r="A2086" s="388" t="s">
        <v>30</v>
      </c>
      <c r="B2086" s="388" t="s">
        <v>11</v>
      </c>
      <c r="C2086" s="1787" t="s">
        <v>12</v>
      </c>
      <c r="D2086" s="1788"/>
      <c r="E2086" s="152" t="s">
        <v>13</v>
      </c>
      <c r="F2086" s="389" t="s">
        <v>14</v>
      </c>
      <c r="G2086" s="390" t="s">
        <v>266</v>
      </c>
    </row>
    <row r="2087" spans="1:7" customFormat="1" ht="15" x14ac:dyDescent="0.25">
      <c r="A2087" s="197">
        <v>1</v>
      </c>
      <c r="B2087" s="198">
        <v>2</v>
      </c>
      <c r="C2087" s="1773">
        <v>3</v>
      </c>
      <c r="D2087" s="1774"/>
      <c r="E2087" s="2">
        <v>4</v>
      </c>
      <c r="F2087" s="205">
        <v>5</v>
      </c>
      <c r="G2087" s="202">
        <v>7</v>
      </c>
    </row>
    <row r="2088" spans="1:7" customFormat="1" ht="15" x14ac:dyDescent="0.25">
      <c r="A2088" s="391" t="s">
        <v>2244</v>
      </c>
      <c r="B2088" s="153" t="s">
        <v>1505</v>
      </c>
      <c r="C2088" s="154"/>
      <c r="D2088" s="155"/>
      <c r="E2088" s="156"/>
      <c r="F2088" s="157"/>
      <c r="G2088" s="202"/>
    </row>
    <row r="2089" spans="1:7" customFormat="1" ht="15" x14ac:dyDescent="0.25">
      <c r="A2089" s="391" t="s">
        <v>2245</v>
      </c>
      <c r="B2089" s="153" t="s">
        <v>2246</v>
      </c>
      <c r="C2089" s="154"/>
      <c r="D2089" s="155"/>
      <c r="E2089" s="156"/>
      <c r="F2089" s="157"/>
      <c r="G2089" s="202"/>
    </row>
    <row r="2090" spans="1:7" customFormat="1" ht="24" x14ac:dyDescent="0.25">
      <c r="A2090" s="391" t="s">
        <v>2247</v>
      </c>
      <c r="B2090" s="153" t="s">
        <v>1499</v>
      </c>
      <c r="C2090" s="392"/>
      <c r="D2090" s="155"/>
      <c r="E2090" s="156"/>
      <c r="F2090" s="157"/>
      <c r="G2090" s="202"/>
    </row>
    <row r="2091" spans="1:7" customFormat="1" ht="15.75" thickBot="1" x14ac:dyDescent="0.3">
      <c r="A2091" s="257"/>
      <c r="B2091" s="158" t="s">
        <v>2248</v>
      </c>
      <c r="C2091" s="392">
        <v>1</v>
      </c>
      <c r="D2091" s="155" t="s">
        <v>222</v>
      </c>
      <c r="E2091" s="156">
        <v>1351000</v>
      </c>
      <c r="F2091" s="157">
        <f>E2091*C2091</f>
        <v>1351000</v>
      </c>
      <c r="G2091" s="202"/>
    </row>
    <row r="2092" spans="1:7" customFormat="1" ht="15.75" thickBot="1" x14ac:dyDescent="0.3">
      <c r="A2092" s="207"/>
      <c r="B2092" s="1781" t="s">
        <v>548</v>
      </c>
      <c r="C2092" s="1782"/>
      <c r="D2092" s="1782"/>
      <c r="E2092" s="1783"/>
      <c r="F2092" s="163">
        <f>SUM(F2091:F2091)</f>
        <v>1351000</v>
      </c>
      <c r="G2092" s="202"/>
    </row>
    <row r="2093" spans="1:7" customFormat="1" ht="15" x14ac:dyDescent="0.25">
      <c r="A2093" s="391" t="s">
        <v>2249</v>
      </c>
      <c r="B2093" s="394" t="s">
        <v>1488</v>
      </c>
      <c r="C2093" s="210"/>
      <c r="D2093" s="211"/>
      <c r="E2093" s="207"/>
      <c r="F2093" s="164"/>
      <c r="G2093" s="202"/>
    </row>
    <row r="2094" spans="1:7" customFormat="1" ht="15" x14ac:dyDescent="0.25">
      <c r="A2094" s="391"/>
      <c r="B2094" s="395" t="s">
        <v>1489</v>
      </c>
      <c r="C2094" s="205">
        <v>17</v>
      </c>
      <c r="D2094" s="206" t="s">
        <v>419</v>
      </c>
      <c r="E2094" s="175">
        <v>150000</v>
      </c>
      <c r="F2094" s="157">
        <f>E2094*C2094</f>
        <v>2550000</v>
      </c>
      <c r="G2094" s="202"/>
    </row>
    <row r="2095" spans="1:7" customFormat="1" ht="15" x14ac:dyDescent="0.25">
      <c r="A2095" s="391"/>
      <c r="B2095" s="396" t="s">
        <v>1490</v>
      </c>
      <c r="C2095" s="397">
        <f>C2094*2</f>
        <v>34</v>
      </c>
      <c r="D2095" s="236" t="s">
        <v>419</v>
      </c>
      <c r="E2095" s="174">
        <v>130000</v>
      </c>
      <c r="F2095" s="162">
        <f>E2095*C2095</f>
        <v>4420000</v>
      </c>
      <c r="G2095" s="202"/>
    </row>
    <row r="2096" spans="1:7" customFormat="1" ht="15.75" thickBot="1" x14ac:dyDescent="0.3">
      <c r="A2096" s="398"/>
      <c r="B2096" s="221" t="s">
        <v>2250</v>
      </c>
      <c r="C2096" s="189">
        <v>41</v>
      </c>
      <c r="D2096" s="189" t="s">
        <v>419</v>
      </c>
      <c r="E2096" s="602">
        <v>130000</v>
      </c>
      <c r="F2096" s="162">
        <f>E2096*C2096</f>
        <v>5330000</v>
      </c>
      <c r="G2096" s="399"/>
    </row>
    <row r="2097" spans="1:11" customFormat="1" ht="15.75" thickBot="1" x14ac:dyDescent="0.3">
      <c r="A2097" s="398"/>
      <c r="B2097" s="1784" t="s">
        <v>548</v>
      </c>
      <c r="C2097" s="1785"/>
      <c r="D2097" s="1785"/>
      <c r="E2097" s="1786"/>
      <c r="F2097" s="163">
        <f>SUM(F2094:F2096)</f>
        <v>12300000</v>
      </c>
      <c r="G2097" s="399"/>
    </row>
    <row r="2098" spans="1:11" customFormat="1" ht="15" x14ac:dyDescent="0.25">
      <c r="A2098" s="391" t="s">
        <v>2251</v>
      </c>
      <c r="B2098" s="360" t="s">
        <v>1491</v>
      </c>
      <c r="C2098" s="210"/>
      <c r="D2098" s="211"/>
      <c r="E2098" s="207"/>
      <c r="F2098" s="164"/>
      <c r="G2098" s="202"/>
    </row>
    <row r="2099" spans="1:11" customFormat="1" ht="16.5" x14ac:dyDescent="0.25">
      <c r="A2099" s="400"/>
      <c r="B2099" s="603" t="s">
        <v>2270</v>
      </c>
      <c r="C2099" s="210">
        <v>12</v>
      </c>
      <c r="D2099" s="211" t="s">
        <v>843</v>
      </c>
      <c r="E2099" s="178">
        <v>2350000</v>
      </c>
      <c r="F2099" s="164">
        <f>E2099*C2099</f>
        <v>28200000</v>
      </c>
      <c r="G2099" s="202"/>
    </row>
    <row r="2100" spans="1:11" customFormat="1" ht="16.5" x14ac:dyDescent="0.25">
      <c r="A2100" s="400"/>
      <c r="B2100" s="603" t="s">
        <v>2271</v>
      </c>
      <c r="C2100" s="210">
        <v>100</v>
      </c>
      <c r="D2100" s="211" t="s">
        <v>276</v>
      </c>
      <c r="E2100" s="178">
        <v>150000</v>
      </c>
      <c r="F2100" s="164">
        <f>E2100*C2100</f>
        <v>15000000</v>
      </c>
      <c r="G2100" s="202"/>
    </row>
    <row r="2101" spans="1:11" customFormat="1" ht="16.5" x14ac:dyDescent="0.25">
      <c r="A2101" s="400"/>
      <c r="B2101" s="604" t="s">
        <v>2272</v>
      </c>
      <c r="C2101" s="210">
        <v>114</v>
      </c>
      <c r="D2101" s="211" t="s">
        <v>159</v>
      </c>
      <c r="E2101" s="178">
        <v>35000</v>
      </c>
      <c r="F2101" s="164">
        <f>E2101*C2101</f>
        <v>3990000</v>
      </c>
      <c r="G2101" s="202"/>
    </row>
    <row r="2102" spans="1:11" customFormat="1" ht="17.25" thickBot="1" x14ac:dyDescent="0.3">
      <c r="A2102" s="400"/>
      <c r="B2102" s="604" t="s">
        <v>2273</v>
      </c>
      <c r="C2102" s="210">
        <v>4.3</v>
      </c>
      <c r="D2102" s="211" t="s">
        <v>843</v>
      </c>
      <c r="E2102" s="178">
        <v>2350000</v>
      </c>
      <c r="F2102" s="164">
        <f>E2102*C2102</f>
        <v>10105000</v>
      </c>
      <c r="G2102" s="202"/>
    </row>
    <row r="2103" spans="1:11" customFormat="1" ht="15.75" thickBot="1" x14ac:dyDescent="0.3">
      <c r="A2103" s="210"/>
      <c r="B2103" s="1781" t="s">
        <v>548</v>
      </c>
      <c r="C2103" s="1782"/>
      <c r="D2103" s="1782"/>
      <c r="E2103" s="1783"/>
      <c r="F2103" s="163">
        <f>SUM(F2099:F2102)</f>
        <v>57295000</v>
      </c>
      <c r="G2103" s="399"/>
    </row>
    <row r="2104" spans="1:11" customFormat="1" ht="15.75" thickBot="1" x14ac:dyDescent="0.3">
      <c r="A2104" s="210"/>
      <c r="B2104" s="1781" t="s">
        <v>26</v>
      </c>
      <c r="C2104" s="1782"/>
      <c r="D2104" s="1782"/>
      <c r="E2104" s="1783"/>
      <c r="F2104" s="163">
        <f>F2103+F2097+F2092</f>
        <v>70946000</v>
      </c>
      <c r="G2104" s="399" t="s">
        <v>1711</v>
      </c>
      <c r="J2104" s="172">
        <f>F2104</f>
        <v>70946000</v>
      </c>
      <c r="K2104" s="172"/>
    </row>
    <row r="2105" spans="1:11" x14ac:dyDescent="0.2">
      <c r="A2105" s="1762" t="s">
        <v>549</v>
      </c>
      <c r="B2105" s="1762"/>
      <c r="C2105" s="188" t="s">
        <v>27</v>
      </c>
      <c r="D2105" s="1763" t="s">
        <v>1429</v>
      </c>
      <c r="E2105" s="1763"/>
      <c r="F2105" s="1763"/>
      <c r="G2105" s="188"/>
    </row>
    <row r="2106" spans="1:11" x14ac:dyDescent="0.2">
      <c r="A2106" s="1762" t="s">
        <v>28</v>
      </c>
      <c r="B2106" s="1762"/>
      <c r="C2106" s="188"/>
      <c r="D2106" s="1764" t="s">
        <v>2833</v>
      </c>
      <c r="E2106" s="1764"/>
      <c r="F2106" s="1764"/>
      <c r="G2106" s="188"/>
    </row>
    <row r="2107" spans="1:11" x14ac:dyDescent="0.2">
      <c r="A2107" s="186"/>
      <c r="B2107" s="187"/>
      <c r="C2107" s="188"/>
      <c r="D2107" s="189"/>
      <c r="E2107" s="218"/>
      <c r="F2107" s="218"/>
      <c r="G2107" s="188"/>
    </row>
    <row r="2108" spans="1:11" x14ac:dyDescent="0.2">
      <c r="A2108" s="186"/>
      <c r="B2108" s="187"/>
      <c r="C2108" s="188"/>
      <c r="D2108" s="189"/>
      <c r="E2108" s="218"/>
      <c r="F2108" s="218"/>
      <c r="G2108" s="188"/>
    </row>
    <row r="2109" spans="1:11" x14ac:dyDescent="0.2">
      <c r="A2109" s="1762"/>
      <c r="B2109" s="1762"/>
      <c r="C2109" s="188"/>
      <c r="D2109" s="189"/>
      <c r="E2109" s="1762"/>
      <c r="F2109" s="1762"/>
      <c r="G2109" s="188"/>
    </row>
    <row r="2110" spans="1:11" x14ac:dyDescent="0.2">
      <c r="A2110" s="1762" t="s">
        <v>29</v>
      </c>
      <c r="B2110" s="1762"/>
      <c r="C2110" s="188"/>
      <c r="D2110" s="1762" t="s">
        <v>2954</v>
      </c>
      <c r="E2110" s="1762"/>
      <c r="F2110" s="1762"/>
      <c r="G2110" s="188"/>
    </row>
    <row r="2111" spans="1:11" customFormat="1" ht="15" x14ac:dyDescent="0.25">
      <c r="A2111" s="189"/>
      <c r="B2111" s="609"/>
      <c r="C2111" s="609"/>
      <c r="D2111" s="609"/>
      <c r="E2111" s="609"/>
      <c r="F2111" s="607"/>
      <c r="G2111" s="184"/>
    </row>
    <row r="2112" spans="1:11" customFormat="1" ht="15" x14ac:dyDescent="0.25">
      <c r="A2112" s="189"/>
      <c r="B2112" s="609"/>
      <c r="C2112" s="609"/>
      <c r="D2112" s="609"/>
      <c r="E2112" s="609"/>
      <c r="F2112" s="607"/>
      <c r="G2112" s="184"/>
    </row>
    <row r="2113" spans="1:7" customFormat="1" ht="15" x14ac:dyDescent="0.25">
      <c r="A2113" s="1796" t="s">
        <v>0</v>
      </c>
      <c r="B2113" s="1796"/>
      <c r="C2113" s="1796"/>
      <c r="D2113" s="1796"/>
      <c r="E2113" s="1796"/>
      <c r="F2113" s="1796"/>
      <c r="G2113" s="1796"/>
    </row>
    <row r="2114" spans="1:7" customFormat="1" ht="15" x14ac:dyDescent="0.25">
      <c r="A2114" s="1796" t="s">
        <v>1</v>
      </c>
      <c r="B2114" s="1796"/>
      <c r="C2114" s="1796"/>
      <c r="D2114" s="1796"/>
      <c r="E2114" s="1796"/>
      <c r="F2114" s="1796"/>
      <c r="G2114" s="1796"/>
    </row>
    <row r="2115" spans="1:7" customFormat="1" ht="15" x14ac:dyDescent="0.25">
      <c r="A2115" s="1796" t="s">
        <v>1769</v>
      </c>
      <c r="B2115" s="1796"/>
      <c r="C2115" s="1796"/>
      <c r="D2115" s="1796"/>
      <c r="E2115" s="1796"/>
      <c r="F2115" s="1796"/>
      <c r="G2115" s="1796"/>
    </row>
    <row r="2116" spans="1:7" customFormat="1" ht="15" x14ac:dyDescent="0.25">
      <c r="A2116" s="374"/>
      <c r="B2116" s="375"/>
      <c r="C2116" s="376"/>
      <c r="D2116" s="376"/>
      <c r="E2116" s="377"/>
      <c r="F2116" s="377"/>
      <c r="G2116" s="377"/>
    </row>
    <row r="2117" spans="1:7" customFormat="1" ht="15" x14ac:dyDescent="0.25">
      <c r="A2117" s="377" t="s">
        <v>1483</v>
      </c>
      <c r="B2117" s="378"/>
      <c r="C2117" s="379"/>
      <c r="D2117" s="379"/>
      <c r="E2117" s="380"/>
      <c r="F2117" s="380"/>
      <c r="G2117" s="377"/>
    </row>
    <row r="2118" spans="1:7" customFormat="1" ht="24.75" x14ac:dyDescent="0.25">
      <c r="A2118" s="381" t="s">
        <v>712</v>
      </c>
      <c r="B2118" s="382" t="s">
        <v>1504</v>
      </c>
      <c r="C2118" s="379"/>
      <c r="D2118" s="379"/>
      <c r="E2118" s="380" t="s">
        <v>1484</v>
      </c>
      <c r="F2118" s="380"/>
      <c r="G2118" s="377"/>
    </row>
    <row r="2119" spans="1:7" customFormat="1" ht="90" x14ac:dyDescent="0.25">
      <c r="A2119" s="383" t="s">
        <v>749</v>
      </c>
      <c r="B2119" s="384" t="s">
        <v>2469</v>
      </c>
      <c r="C2119" s="379"/>
      <c r="D2119" s="379"/>
      <c r="E2119" s="380" t="s">
        <v>1485</v>
      </c>
      <c r="F2119" s="380"/>
      <c r="G2119" s="381"/>
    </row>
    <row r="2120" spans="1:7" customFormat="1" ht="15" x14ac:dyDescent="0.25">
      <c r="A2120" s="383" t="s">
        <v>1486</v>
      </c>
      <c r="B2120" s="384" t="s">
        <v>2305</v>
      </c>
      <c r="C2120" s="379"/>
      <c r="D2120" s="379"/>
      <c r="E2120" s="380"/>
      <c r="F2120" s="380"/>
      <c r="G2120" s="381"/>
    </row>
    <row r="2121" spans="1:7" customFormat="1" ht="15" x14ac:dyDescent="0.25">
      <c r="A2121" s="377" t="s">
        <v>1487</v>
      </c>
      <c r="B2121" s="378" t="s">
        <v>61</v>
      </c>
      <c r="C2121" s="379"/>
      <c r="D2121" s="379"/>
      <c r="E2121" s="377"/>
      <c r="F2121" s="377"/>
      <c r="G2121" s="377"/>
    </row>
    <row r="2122" spans="1:7" customFormat="1" ht="15" x14ac:dyDescent="0.25">
      <c r="A2122" s="381" t="s">
        <v>62</v>
      </c>
      <c r="B2122" s="382" t="s">
        <v>63</v>
      </c>
      <c r="C2122" s="379"/>
      <c r="D2122" s="379"/>
      <c r="E2122" s="381"/>
      <c r="F2122" s="381"/>
      <c r="G2122" s="381"/>
    </row>
    <row r="2123" spans="1:7" customFormat="1" ht="15" x14ac:dyDescent="0.25">
      <c r="A2123" s="385"/>
      <c r="B2123" s="386"/>
      <c r="C2123" s="387"/>
      <c r="D2123" s="387"/>
      <c r="E2123" s="385"/>
      <c r="F2123" s="1481"/>
      <c r="G2123" s="385"/>
    </row>
    <row r="2124" spans="1:7" customFormat="1" ht="24" x14ac:dyDescent="0.25">
      <c r="A2124" s="388" t="s">
        <v>30</v>
      </c>
      <c r="B2124" s="388" t="s">
        <v>11</v>
      </c>
      <c r="C2124" s="1787" t="s">
        <v>12</v>
      </c>
      <c r="D2124" s="1788"/>
      <c r="E2124" s="152" t="s">
        <v>13</v>
      </c>
      <c r="F2124" s="389" t="s">
        <v>14</v>
      </c>
      <c r="G2124" s="390" t="s">
        <v>266</v>
      </c>
    </row>
    <row r="2125" spans="1:7" customFormat="1" ht="15" x14ac:dyDescent="0.25">
      <c r="A2125" s="197">
        <v>1</v>
      </c>
      <c r="B2125" s="198">
        <v>2</v>
      </c>
      <c r="C2125" s="1773">
        <v>3</v>
      </c>
      <c r="D2125" s="1774"/>
      <c r="E2125" s="2">
        <v>4</v>
      </c>
      <c r="F2125" s="205">
        <v>5</v>
      </c>
      <c r="G2125" s="202">
        <v>7</v>
      </c>
    </row>
    <row r="2126" spans="1:7" customFormat="1" ht="15" x14ac:dyDescent="0.25">
      <c r="A2126" s="391" t="s">
        <v>2288</v>
      </c>
      <c r="B2126" s="153" t="s">
        <v>1505</v>
      </c>
      <c r="C2126" s="154"/>
      <c r="D2126" s="155"/>
      <c r="E2126" s="156"/>
      <c r="F2126" s="157"/>
      <c r="G2126" s="202"/>
    </row>
    <row r="2127" spans="1:7" customFormat="1" ht="15" x14ac:dyDescent="0.25">
      <c r="A2127" s="391" t="s">
        <v>2289</v>
      </c>
      <c r="B2127" s="153" t="s">
        <v>2246</v>
      </c>
      <c r="C2127" s="154"/>
      <c r="D2127" s="155"/>
      <c r="E2127" s="156"/>
      <c r="F2127" s="157"/>
      <c r="G2127" s="202"/>
    </row>
    <row r="2128" spans="1:7" customFormat="1" ht="24" x14ac:dyDescent="0.25">
      <c r="A2128" s="391" t="s">
        <v>2290</v>
      </c>
      <c r="B2128" s="153" t="s">
        <v>1499</v>
      </c>
      <c r="C2128" s="392"/>
      <c r="D2128" s="155"/>
      <c r="E2128" s="156"/>
      <c r="F2128" s="157"/>
      <c r="G2128" s="202"/>
    </row>
    <row r="2129" spans="1:12" customFormat="1" ht="15.75" thickBot="1" x14ac:dyDescent="0.3">
      <c r="A2129" s="257"/>
      <c r="B2129" s="158" t="s">
        <v>2248</v>
      </c>
      <c r="C2129" s="392">
        <v>1</v>
      </c>
      <c r="D2129" s="155" t="s">
        <v>222</v>
      </c>
      <c r="E2129" s="156">
        <v>300000</v>
      </c>
      <c r="F2129" s="157">
        <f>E2129*C2129</f>
        <v>300000</v>
      </c>
      <c r="G2129" s="202"/>
    </row>
    <row r="2130" spans="1:12" customFormat="1" ht="15.75" thickBot="1" x14ac:dyDescent="0.3">
      <c r="A2130" s="207"/>
      <c r="B2130" s="1781" t="s">
        <v>548</v>
      </c>
      <c r="C2130" s="1782"/>
      <c r="D2130" s="1782"/>
      <c r="E2130" s="1783"/>
      <c r="F2130" s="163">
        <f>SUM(F2129:F2129)</f>
        <v>300000</v>
      </c>
      <c r="G2130" s="202"/>
    </row>
    <row r="2131" spans="1:12" customFormat="1" ht="15" x14ac:dyDescent="0.25">
      <c r="A2131" s="391" t="s">
        <v>2291</v>
      </c>
      <c r="B2131" s="394" t="s">
        <v>1488</v>
      </c>
      <c r="C2131" s="210"/>
      <c r="D2131" s="211"/>
      <c r="E2131" s="207"/>
      <c r="F2131" s="164"/>
      <c r="G2131" s="202"/>
    </row>
    <row r="2132" spans="1:12" customFormat="1" ht="15.75" thickBot="1" x14ac:dyDescent="0.3">
      <c r="A2132" s="391"/>
      <c r="B2132" s="396" t="s">
        <v>1490</v>
      </c>
      <c r="C2132" s="397">
        <v>20</v>
      </c>
      <c r="D2132" s="236" t="s">
        <v>419</v>
      </c>
      <c r="E2132" s="174">
        <v>130000</v>
      </c>
      <c r="F2132" s="162">
        <f>E2132*C2132</f>
        <v>2600000</v>
      </c>
      <c r="G2132" s="202"/>
    </row>
    <row r="2133" spans="1:12" customFormat="1" ht="15.75" thickBot="1" x14ac:dyDescent="0.3">
      <c r="A2133" s="398"/>
      <c r="B2133" s="1784" t="s">
        <v>548</v>
      </c>
      <c r="C2133" s="1785"/>
      <c r="D2133" s="1785"/>
      <c r="E2133" s="1786"/>
      <c r="F2133" s="163">
        <f>SUM(F2132:F2132)</f>
        <v>2600000</v>
      </c>
      <c r="G2133" s="399"/>
    </row>
    <row r="2134" spans="1:12" customFormat="1" ht="15.75" thickBot="1" x14ac:dyDescent="0.3">
      <c r="A2134" s="257"/>
      <c r="B2134" s="159"/>
      <c r="C2134" s="393"/>
      <c r="D2134" s="160"/>
      <c r="E2134" s="161"/>
      <c r="F2134" s="162"/>
      <c r="G2134" s="202"/>
    </row>
    <row r="2135" spans="1:12" customFormat="1" ht="15.75" thickBot="1" x14ac:dyDescent="0.3">
      <c r="A2135" s="210"/>
      <c r="B2135" s="1781" t="s">
        <v>26</v>
      </c>
      <c r="C2135" s="1782"/>
      <c r="D2135" s="1782"/>
      <c r="E2135" s="1783"/>
      <c r="F2135" s="163">
        <f>F2133+F2130</f>
        <v>2900000</v>
      </c>
      <c r="G2135" s="399" t="s">
        <v>1845</v>
      </c>
      <c r="L2135" s="172">
        <f>F2135</f>
        <v>2900000</v>
      </c>
    </row>
    <row r="2136" spans="1:12" x14ac:dyDescent="0.2">
      <c r="A2136" s="1762" t="s">
        <v>549</v>
      </c>
      <c r="B2136" s="1762"/>
      <c r="C2136" s="188" t="s">
        <v>27</v>
      </c>
      <c r="D2136" s="1763" t="s">
        <v>1429</v>
      </c>
      <c r="E2136" s="1763"/>
      <c r="F2136" s="1763"/>
      <c r="G2136" s="188"/>
    </row>
    <row r="2137" spans="1:12" x14ac:dyDescent="0.2">
      <c r="A2137" s="1762" t="s">
        <v>28</v>
      </c>
      <c r="B2137" s="1762"/>
      <c r="C2137" s="188"/>
      <c r="D2137" s="1764" t="s">
        <v>2833</v>
      </c>
      <c r="E2137" s="1764"/>
      <c r="F2137" s="1764"/>
      <c r="G2137" s="188"/>
    </row>
    <row r="2138" spans="1:12" x14ac:dyDescent="0.2">
      <c r="A2138" s="186"/>
      <c r="B2138" s="187"/>
      <c r="C2138" s="188"/>
      <c r="D2138" s="189"/>
      <c r="E2138" s="218"/>
      <c r="F2138" s="218"/>
      <c r="G2138" s="188"/>
    </row>
    <row r="2139" spans="1:12" x14ac:dyDescent="0.2">
      <c r="A2139" s="186"/>
      <c r="B2139" s="187"/>
      <c r="C2139" s="188"/>
      <c r="D2139" s="189"/>
      <c r="E2139" s="218"/>
      <c r="F2139" s="218"/>
      <c r="G2139" s="188"/>
    </row>
    <row r="2140" spans="1:12" x14ac:dyDescent="0.2">
      <c r="A2140" s="1762"/>
      <c r="B2140" s="1762"/>
      <c r="C2140" s="188"/>
      <c r="D2140" s="189"/>
      <c r="E2140" s="1762"/>
      <c r="F2140" s="1762"/>
      <c r="G2140" s="188"/>
    </row>
    <row r="2141" spans="1:12" x14ac:dyDescent="0.2">
      <c r="A2141" s="1762" t="s">
        <v>29</v>
      </c>
      <c r="B2141" s="1762"/>
      <c r="C2141" s="188"/>
      <c r="D2141" s="1762" t="s">
        <v>2954</v>
      </c>
      <c r="E2141" s="1762"/>
      <c r="F2141" s="1762"/>
      <c r="G2141" s="188"/>
    </row>
    <row r="2142" spans="1:12" customFormat="1" ht="15" x14ac:dyDescent="0.25">
      <c r="A2142" s="1796" t="s">
        <v>0</v>
      </c>
      <c r="B2142" s="1796"/>
      <c r="C2142" s="1796"/>
      <c r="D2142" s="1796"/>
      <c r="E2142" s="1796"/>
      <c r="F2142" s="1796"/>
      <c r="G2142" s="1796"/>
    </row>
    <row r="2143" spans="1:12" customFormat="1" ht="15" x14ac:dyDescent="0.25">
      <c r="A2143" s="1796" t="s">
        <v>1</v>
      </c>
      <c r="B2143" s="1796"/>
      <c r="C2143" s="1796"/>
      <c r="D2143" s="1796"/>
      <c r="E2143" s="1796"/>
      <c r="F2143" s="1796"/>
      <c r="G2143" s="1796"/>
    </row>
    <row r="2144" spans="1:12" customFormat="1" ht="15" x14ac:dyDescent="0.25">
      <c r="A2144" s="1796" t="s">
        <v>1769</v>
      </c>
      <c r="B2144" s="1796"/>
      <c r="C2144" s="1796"/>
      <c r="D2144" s="1796"/>
      <c r="E2144" s="1796"/>
      <c r="F2144" s="1796"/>
      <c r="G2144" s="1796"/>
    </row>
    <row r="2145" spans="1:7" customFormat="1" ht="15" x14ac:dyDescent="0.25">
      <c r="A2145" s="374"/>
      <c r="B2145" s="375"/>
      <c r="C2145" s="376"/>
      <c r="D2145" s="376"/>
      <c r="E2145" s="377"/>
      <c r="F2145" s="377"/>
      <c r="G2145" s="377"/>
    </row>
    <row r="2146" spans="1:7" customFormat="1" ht="15" x14ac:dyDescent="0.25">
      <c r="A2146" s="377" t="s">
        <v>1483</v>
      </c>
      <c r="B2146" s="378"/>
      <c r="C2146" s="379"/>
      <c r="D2146" s="379"/>
      <c r="E2146" s="380"/>
      <c r="F2146" s="380"/>
      <c r="G2146" s="377"/>
    </row>
    <row r="2147" spans="1:7" customFormat="1" ht="24.75" x14ac:dyDescent="0.25">
      <c r="A2147" s="381" t="s">
        <v>712</v>
      </c>
      <c r="B2147" s="382" t="s">
        <v>1504</v>
      </c>
      <c r="C2147" s="379"/>
      <c r="D2147" s="379"/>
      <c r="E2147" s="380" t="s">
        <v>1484</v>
      </c>
      <c r="F2147" s="380"/>
      <c r="G2147" s="377"/>
    </row>
    <row r="2148" spans="1:7" customFormat="1" ht="75" x14ac:dyDescent="0.25">
      <c r="A2148" s="383" t="s">
        <v>749</v>
      </c>
      <c r="B2148" s="384" t="s">
        <v>2363</v>
      </c>
      <c r="C2148" s="379"/>
      <c r="D2148" s="379"/>
      <c r="E2148" s="380" t="s">
        <v>1485</v>
      </c>
      <c r="F2148" s="380"/>
      <c r="G2148" s="381"/>
    </row>
    <row r="2149" spans="1:7" customFormat="1" ht="15" x14ac:dyDescent="0.25">
      <c r="A2149" s="383" t="s">
        <v>1486</v>
      </c>
      <c r="B2149" s="384" t="s">
        <v>2306</v>
      </c>
      <c r="C2149" s="379"/>
      <c r="D2149" s="379"/>
      <c r="E2149" s="380"/>
      <c r="F2149" s="380"/>
      <c r="G2149" s="381"/>
    </row>
    <row r="2150" spans="1:7" customFormat="1" ht="15" x14ac:dyDescent="0.25">
      <c r="A2150" s="377" t="s">
        <v>1487</v>
      </c>
      <c r="B2150" s="378" t="s">
        <v>61</v>
      </c>
      <c r="C2150" s="379"/>
      <c r="D2150" s="379"/>
      <c r="E2150" s="377"/>
      <c r="F2150" s="377"/>
      <c r="G2150" s="377"/>
    </row>
    <row r="2151" spans="1:7" customFormat="1" ht="15" x14ac:dyDescent="0.25">
      <c r="A2151" s="381" t="s">
        <v>62</v>
      </c>
      <c r="B2151" s="382" t="s">
        <v>63</v>
      </c>
      <c r="C2151" s="379"/>
      <c r="D2151" s="379"/>
      <c r="E2151" s="381"/>
      <c r="F2151" s="381"/>
      <c r="G2151" s="381"/>
    </row>
    <row r="2152" spans="1:7" customFormat="1" ht="15" x14ac:dyDescent="0.25">
      <c r="A2152" s="385"/>
      <c r="B2152" s="386"/>
      <c r="C2152" s="387"/>
      <c r="D2152" s="387"/>
      <c r="E2152" s="385"/>
      <c r="F2152" s="385"/>
      <c r="G2152" s="385"/>
    </row>
    <row r="2153" spans="1:7" customFormat="1" ht="24" x14ac:dyDescent="0.25">
      <c r="A2153" s="388" t="s">
        <v>30</v>
      </c>
      <c r="B2153" s="388" t="s">
        <v>11</v>
      </c>
      <c r="C2153" s="1787" t="s">
        <v>12</v>
      </c>
      <c r="D2153" s="1788"/>
      <c r="E2153" s="152" t="s">
        <v>13</v>
      </c>
      <c r="F2153" s="389" t="s">
        <v>14</v>
      </c>
      <c r="G2153" s="390" t="s">
        <v>266</v>
      </c>
    </row>
    <row r="2154" spans="1:7" customFormat="1" ht="15" x14ac:dyDescent="0.25">
      <c r="A2154" s="197">
        <v>1</v>
      </c>
      <c r="B2154" s="198">
        <v>2</v>
      </c>
      <c r="C2154" s="1773">
        <v>3</v>
      </c>
      <c r="D2154" s="1774"/>
      <c r="E2154" s="2">
        <v>4</v>
      </c>
      <c r="F2154" s="205">
        <v>5</v>
      </c>
      <c r="G2154" s="202">
        <v>7</v>
      </c>
    </row>
    <row r="2155" spans="1:7" customFormat="1" ht="15" x14ac:dyDescent="0.25">
      <c r="A2155" s="391" t="s">
        <v>2244</v>
      </c>
      <c r="B2155" s="153" t="s">
        <v>1505</v>
      </c>
      <c r="C2155" s="154"/>
      <c r="D2155" s="155"/>
      <c r="E2155" s="156"/>
      <c r="F2155" s="157"/>
      <c r="G2155" s="202"/>
    </row>
    <row r="2156" spans="1:7" customFormat="1" ht="15" x14ac:dyDescent="0.25">
      <c r="A2156" s="391" t="s">
        <v>2245</v>
      </c>
      <c r="B2156" s="153" t="s">
        <v>2246</v>
      </c>
      <c r="C2156" s="154"/>
      <c r="D2156" s="155"/>
      <c r="E2156" s="156"/>
      <c r="F2156" s="157"/>
      <c r="G2156" s="202"/>
    </row>
    <row r="2157" spans="1:7" customFormat="1" ht="24" x14ac:dyDescent="0.25">
      <c r="A2157" s="391" t="s">
        <v>2247</v>
      </c>
      <c r="B2157" s="153" t="s">
        <v>1499</v>
      </c>
      <c r="C2157" s="392"/>
      <c r="D2157" s="155"/>
      <c r="E2157" s="156"/>
      <c r="F2157" s="157"/>
      <c r="G2157" s="202"/>
    </row>
    <row r="2158" spans="1:7" customFormat="1" ht="15.75" thickBot="1" x14ac:dyDescent="0.3">
      <c r="A2158" s="257"/>
      <c r="B2158" s="158" t="s">
        <v>2248</v>
      </c>
      <c r="C2158" s="392">
        <v>1</v>
      </c>
      <c r="D2158" s="155" t="s">
        <v>473</v>
      </c>
      <c r="E2158" s="156">
        <v>42900</v>
      </c>
      <c r="F2158" s="157">
        <f>E2158*C2158</f>
        <v>42900</v>
      </c>
      <c r="G2158" s="202"/>
    </row>
    <row r="2159" spans="1:7" customFormat="1" ht="15.75" thickBot="1" x14ac:dyDescent="0.3">
      <c r="A2159" s="207"/>
      <c r="B2159" s="1781" t="s">
        <v>548</v>
      </c>
      <c r="C2159" s="1782"/>
      <c r="D2159" s="1782"/>
      <c r="E2159" s="1783"/>
      <c r="F2159" s="163">
        <f>SUM(F2158:F2158)</f>
        <v>42900</v>
      </c>
      <c r="G2159" s="202"/>
    </row>
    <row r="2160" spans="1:7" customFormat="1" ht="15" x14ac:dyDescent="0.25">
      <c r="A2160" s="391" t="s">
        <v>2249</v>
      </c>
      <c r="B2160" s="394" t="s">
        <v>1488</v>
      </c>
      <c r="C2160" s="210"/>
      <c r="D2160" s="211"/>
      <c r="E2160" s="207"/>
      <c r="F2160" s="164"/>
      <c r="G2160" s="202"/>
    </row>
    <row r="2161" spans="1:12" customFormat="1" ht="15" x14ac:dyDescent="0.25">
      <c r="A2161" s="597"/>
      <c r="B2161" s="396" t="s">
        <v>1490</v>
      </c>
      <c r="C2161" s="397">
        <v>16.5</v>
      </c>
      <c r="D2161" s="236" t="s">
        <v>419</v>
      </c>
      <c r="E2161" s="174">
        <v>130000</v>
      </c>
      <c r="F2161" s="162">
        <f>E2161*C2161</f>
        <v>2145000</v>
      </c>
      <c r="G2161" s="598"/>
    </row>
    <row r="2162" spans="1:12" customFormat="1" ht="15.75" thickBot="1" x14ac:dyDescent="0.3">
      <c r="A2162" s="391"/>
      <c r="B2162" s="238"/>
      <c r="C2162" s="197"/>
      <c r="D2162" s="197"/>
      <c r="E2162" s="175"/>
      <c r="F2162" s="156"/>
      <c r="G2162" s="202"/>
    </row>
    <row r="2163" spans="1:12" customFormat="1" ht="15.75" thickBot="1" x14ac:dyDescent="0.3">
      <c r="A2163" s="210"/>
      <c r="B2163" s="1781" t="s">
        <v>548</v>
      </c>
      <c r="C2163" s="1782"/>
      <c r="D2163" s="1782"/>
      <c r="E2163" s="1783"/>
      <c r="F2163" s="163">
        <f>SUM(F2161:F2162)</f>
        <v>2145000</v>
      </c>
      <c r="G2163" s="399"/>
    </row>
    <row r="2164" spans="1:12" customFormat="1" ht="15.75" thickBot="1" x14ac:dyDescent="0.3">
      <c r="A2164" s="210"/>
      <c r="B2164" s="1781" t="s">
        <v>26</v>
      </c>
      <c r="C2164" s="1782"/>
      <c r="D2164" s="1782"/>
      <c r="E2164" s="1783"/>
      <c r="F2164" s="163">
        <f>F2163+F2159</f>
        <v>2187900</v>
      </c>
      <c r="G2164" s="399" t="s">
        <v>1845</v>
      </c>
      <c r="L2164" s="172">
        <f>F2164</f>
        <v>2187900</v>
      </c>
    </row>
    <row r="2165" spans="1:12" x14ac:dyDescent="0.2">
      <c r="A2165" s="1762" t="s">
        <v>549</v>
      </c>
      <c r="B2165" s="1762"/>
      <c r="C2165" s="188" t="s">
        <v>27</v>
      </c>
      <c r="D2165" s="1763" t="s">
        <v>1429</v>
      </c>
      <c r="E2165" s="1763"/>
      <c r="F2165" s="1763"/>
      <c r="G2165" s="188"/>
    </row>
    <row r="2166" spans="1:12" x14ac:dyDescent="0.2">
      <c r="A2166" s="1762" t="s">
        <v>28</v>
      </c>
      <c r="B2166" s="1762"/>
      <c r="C2166" s="188"/>
      <c r="D2166" s="1764" t="s">
        <v>2833</v>
      </c>
      <c r="E2166" s="1764"/>
      <c r="F2166" s="1764"/>
      <c r="G2166" s="188"/>
    </row>
    <row r="2167" spans="1:12" x14ac:dyDescent="0.2">
      <c r="A2167" s="186"/>
      <c r="B2167" s="187"/>
      <c r="C2167" s="188"/>
      <c r="D2167" s="189"/>
      <c r="E2167" s="218"/>
      <c r="F2167" s="218"/>
      <c r="G2167" s="188"/>
    </row>
    <row r="2168" spans="1:12" x14ac:dyDescent="0.2">
      <c r="A2168" s="186"/>
      <c r="B2168" s="187"/>
      <c r="C2168" s="188"/>
      <c r="D2168" s="189"/>
      <c r="E2168" s="218"/>
      <c r="F2168" s="218"/>
      <c r="G2168" s="188"/>
    </row>
    <row r="2169" spans="1:12" x14ac:dyDescent="0.2">
      <c r="A2169" s="1762"/>
      <c r="B2169" s="1762"/>
      <c r="C2169" s="188"/>
      <c r="D2169" s="189"/>
      <c r="E2169" s="1762"/>
      <c r="F2169" s="1762"/>
      <c r="G2169" s="188"/>
    </row>
    <row r="2170" spans="1:12" x14ac:dyDescent="0.2">
      <c r="A2170" s="1762" t="s">
        <v>29</v>
      </c>
      <c r="B2170" s="1762"/>
      <c r="C2170" s="188"/>
      <c r="D2170" s="1762" t="s">
        <v>2954</v>
      </c>
      <c r="E2170" s="1762"/>
      <c r="F2170" s="1762"/>
      <c r="G2170" s="188"/>
    </row>
    <row r="2171" spans="1:12" customFormat="1" ht="15" x14ac:dyDescent="0.25">
      <c r="D2171" s="3"/>
      <c r="E2171" s="3"/>
    </row>
    <row r="2172" spans="1:12" customFormat="1" ht="15" x14ac:dyDescent="0.25">
      <c r="D2172" s="3"/>
      <c r="E2172" s="3"/>
    </row>
    <row r="2173" spans="1:12" customFormat="1" ht="15" x14ac:dyDescent="0.25"/>
    <row r="2174" spans="1:12" customFormat="1" ht="15" x14ac:dyDescent="0.25"/>
    <row r="2175" spans="1:12" customFormat="1" ht="15" x14ac:dyDescent="0.25"/>
    <row r="2176" spans="1:12" customFormat="1" ht="15" x14ac:dyDescent="0.25"/>
    <row r="2177" spans="1:7" customFormat="1" ht="15" x14ac:dyDescent="0.25"/>
    <row r="2178" spans="1:7" customFormat="1" ht="15" x14ac:dyDescent="0.25"/>
    <row r="2179" spans="1:7" customFormat="1" ht="15" x14ac:dyDescent="0.25"/>
    <row r="2180" spans="1:7" customFormat="1" ht="15" x14ac:dyDescent="0.25"/>
    <row r="2181" spans="1:7" customFormat="1" ht="15" x14ac:dyDescent="0.25">
      <c r="A2181" s="1796" t="s">
        <v>0</v>
      </c>
      <c r="B2181" s="1796"/>
      <c r="C2181" s="1796"/>
      <c r="D2181" s="1796"/>
      <c r="E2181" s="1796"/>
      <c r="F2181" s="1796"/>
      <c r="G2181" s="1796"/>
    </row>
    <row r="2182" spans="1:7" customFormat="1" ht="15" x14ac:dyDescent="0.25">
      <c r="A2182" s="1796" t="s">
        <v>1</v>
      </c>
      <c r="B2182" s="1796"/>
      <c r="C2182" s="1796"/>
      <c r="D2182" s="1796"/>
      <c r="E2182" s="1796"/>
      <c r="F2182" s="1796"/>
      <c r="G2182" s="1796"/>
    </row>
    <row r="2183" spans="1:7" customFormat="1" ht="15" x14ac:dyDescent="0.25">
      <c r="A2183" s="1796" t="s">
        <v>1769</v>
      </c>
      <c r="B2183" s="1796"/>
      <c r="C2183" s="1796"/>
      <c r="D2183" s="1796"/>
      <c r="E2183" s="1796"/>
      <c r="F2183" s="1796"/>
      <c r="G2183" s="1796"/>
    </row>
    <row r="2184" spans="1:7" customFormat="1" ht="15" x14ac:dyDescent="0.25">
      <c r="A2184" s="374"/>
      <c r="B2184" s="375"/>
      <c r="C2184" s="376"/>
      <c r="D2184" s="376"/>
      <c r="E2184" s="377"/>
      <c r="F2184" s="377"/>
      <c r="G2184" s="377"/>
    </row>
    <row r="2185" spans="1:7" customFormat="1" ht="15" x14ac:dyDescent="0.25">
      <c r="A2185" s="377" t="s">
        <v>1483</v>
      </c>
      <c r="B2185" s="378"/>
      <c r="C2185" s="379"/>
      <c r="D2185" s="379"/>
      <c r="E2185" s="380"/>
      <c r="F2185" s="380"/>
      <c r="G2185" s="377"/>
    </row>
    <row r="2186" spans="1:7" customFormat="1" ht="24.75" x14ac:dyDescent="0.25">
      <c r="A2186" s="381" t="s">
        <v>712</v>
      </c>
      <c r="B2186" s="382" t="s">
        <v>1504</v>
      </c>
      <c r="C2186" s="379"/>
      <c r="D2186" s="379"/>
      <c r="E2186" s="380" t="s">
        <v>1484</v>
      </c>
      <c r="F2186" s="380"/>
      <c r="G2186" s="377"/>
    </row>
    <row r="2187" spans="1:7" customFormat="1" ht="90" x14ac:dyDescent="0.25">
      <c r="A2187" s="383" t="s">
        <v>749</v>
      </c>
      <c r="B2187" s="384" t="s">
        <v>2364</v>
      </c>
      <c r="C2187" s="379"/>
      <c r="D2187" s="379"/>
      <c r="E2187" s="380" t="s">
        <v>1485</v>
      </c>
      <c r="F2187" s="380"/>
      <c r="G2187" s="381"/>
    </row>
    <row r="2188" spans="1:7" customFormat="1" ht="30" x14ac:dyDescent="0.25">
      <c r="A2188" s="383" t="s">
        <v>1486</v>
      </c>
      <c r="B2188" s="384" t="s">
        <v>2307</v>
      </c>
      <c r="C2188" s="379"/>
      <c r="D2188" s="379"/>
      <c r="E2188" s="380"/>
      <c r="F2188" s="380"/>
      <c r="G2188" s="381"/>
    </row>
    <row r="2189" spans="1:7" customFormat="1" ht="15" x14ac:dyDescent="0.25">
      <c r="A2189" s="377" t="s">
        <v>1487</v>
      </c>
      <c r="B2189" s="378" t="s">
        <v>61</v>
      </c>
      <c r="C2189" s="379"/>
      <c r="D2189" s="379"/>
      <c r="E2189" s="377"/>
      <c r="F2189" s="377"/>
      <c r="G2189" s="377"/>
    </row>
    <row r="2190" spans="1:7" customFormat="1" ht="15" x14ac:dyDescent="0.25">
      <c r="A2190" s="381" t="s">
        <v>62</v>
      </c>
      <c r="B2190" s="382" t="s">
        <v>63</v>
      </c>
      <c r="C2190" s="379"/>
      <c r="D2190" s="379"/>
      <c r="E2190" s="381"/>
      <c r="F2190" s="381"/>
      <c r="G2190" s="381"/>
    </row>
    <row r="2191" spans="1:7" customFormat="1" ht="15" x14ac:dyDescent="0.25">
      <c r="A2191" s="385"/>
      <c r="B2191" s="386"/>
      <c r="C2191" s="387"/>
      <c r="D2191" s="387"/>
      <c r="E2191" s="385"/>
      <c r="F2191" s="385"/>
      <c r="G2191" s="385"/>
    </row>
    <row r="2192" spans="1:7" customFormat="1" ht="24" x14ac:dyDescent="0.25">
      <c r="A2192" s="388" t="s">
        <v>30</v>
      </c>
      <c r="B2192" s="388" t="s">
        <v>11</v>
      </c>
      <c r="C2192" s="1787" t="s">
        <v>12</v>
      </c>
      <c r="D2192" s="1788"/>
      <c r="E2192" s="152" t="s">
        <v>13</v>
      </c>
      <c r="F2192" s="389" t="s">
        <v>14</v>
      </c>
      <c r="G2192" s="390" t="s">
        <v>266</v>
      </c>
    </row>
    <row r="2193" spans="1:7" customFormat="1" ht="15" x14ac:dyDescent="0.25">
      <c r="A2193" s="197">
        <v>1</v>
      </c>
      <c r="B2193" s="198">
        <v>2</v>
      </c>
      <c r="C2193" s="1773">
        <v>3</v>
      </c>
      <c r="D2193" s="1774"/>
      <c r="E2193" s="2">
        <v>4</v>
      </c>
      <c r="F2193" s="205">
        <v>5</v>
      </c>
      <c r="G2193" s="202">
        <v>7</v>
      </c>
    </row>
    <row r="2194" spans="1:7" customFormat="1" ht="15" x14ac:dyDescent="0.25">
      <c r="A2194" s="391" t="s">
        <v>2244</v>
      </c>
      <c r="B2194" s="153" t="s">
        <v>1505</v>
      </c>
      <c r="C2194" s="154"/>
      <c r="D2194" s="155"/>
      <c r="E2194" s="156"/>
      <c r="F2194" s="157"/>
      <c r="G2194" s="202"/>
    </row>
    <row r="2195" spans="1:7" customFormat="1" ht="15" x14ac:dyDescent="0.25">
      <c r="A2195" s="391" t="s">
        <v>2245</v>
      </c>
      <c r="B2195" s="153" t="s">
        <v>2246</v>
      </c>
      <c r="C2195" s="154"/>
      <c r="D2195" s="155"/>
      <c r="E2195" s="156"/>
      <c r="F2195" s="157"/>
      <c r="G2195" s="202"/>
    </row>
    <row r="2196" spans="1:7" customFormat="1" ht="24" x14ac:dyDescent="0.25">
      <c r="A2196" s="391" t="s">
        <v>2247</v>
      </c>
      <c r="B2196" s="153" t="s">
        <v>1499</v>
      </c>
      <c r="C2196" s="392"/>
      <c r="D2196" s="155"/>
      <c r="E2196" s="156"/>
      <c r="F2196" s="157"/>
      <c r="G2196" s="202"/>
    </row>
    <row r="2197" spans="1:7" customFormat="1" ht="15.75" thickBot="1" x14ac:dyDescent="0.3">
      <c r="A2197" s="257"/>
      <c r="B2197" s="158" t="s">
        <v>2248</v>
      </c>
      <c r="C2197" s="392">
        <v>1</v>
      </c>
      <c r="D2197" s="155" t="s">
        <v>473</v>
      </c>
      <c r="E2197" s="156">
        <v>526320</v>
      </c>
      <c r="F2197" s="157">
        <f>E2197*C2197</f>
        <v>526320</v>
      </c>
      <c r="G2197" s="202"/>
    </row>
    <row r="2198" spans="1:7" customFormat="1" ht="15.75" thickBot="1" x14ac:dyDescent="0.3">
      <c r="A2198" s="207"/>
      <c r="B2198" s="1781" t="s">
        <v>548</v>
      </c>
      <c r="C2198" s="1782"/>
      <c r="D2198" s="1782"/>
      <c r="E2198" s="1783"/>
      <c r="F2198" s="163">
        <f>SUM(F2197:F2197)</f>
        <v>526320</v>
      </c>
      <c r="G2198" s="202"/>
    </row>
    <row r="2199" spans="1:7" customFormat="1" ht="15" x14ac:dyDescent="0.25">
      <c r="A2199" s="391" t="s">
        <v>2249</v>
      </c>
      <c r="B2199" s="394" t="s">
        <v>1488</v>
      </c>
      <c r="C2199" s="210"/>
      <c r="D2199" s="211"/>
      <c r="E2199" s="207"/>
      <c r="F2199" s="164"/>
      <c r="G2199" s="202"/>
    </row>
    <row r="2200" spans="1:7" customFormat="1" ht="15" x14ac:dyDescent="0.25">
      <c r="A2200" s="391"/>
      <c r="B2200" s="395" t="s">
        <v>1489</v>
      </c>
      <c r="C2200" s="205">
        <v>9</v>
      </c>
      <c r="D2200" s="206" t="s">
        <v>419</v>
      </c>
      <c r="E2200" s="175">
        <v>150000</v>
      </c>
      <c r="F2200" s="157">
        <f>E2200*C2200</f>
        <v>1350000</v>
      </c>
      <c r="G2200" s="202"/>
    </row>
    <row r="2201" spans="1:7" customFormat="1" ht="15" x14ac:dyDescent="0.25">
      <c r="A2201" s="597"/>
      <c r="B2201" s="396" t="s">
        <v>1490</v>
      </c>
      <c r="C2201" s="397">
        <v>18</v>
      </c>
      <c r="D2201" s="236" t="s">
        <v>419</v>
      </c>
      <c r="E2201" s="174">
        <v>130000</v>
      </c>
      <c r="F2201" s="162">
        <f>E2201*C2201</f>
        <v>2340000</v>
      </c>
      <c r="G2201" s="598"/>
    </row>
    <row r="2202" spans="1:7" customFormat="1" ht="15.75" thickBot="1" x14ac:dyDescent="0.3">
      <c r="A2202" s="610"/>
      <c r="B2202" s="221" t="s">
        <v>2308</v>
      </c>
      <c r="C2202" s="189">
        <v>2</v>
      </c>
      <c r="D2202" s="189" t="s">
        <v>419</v>
      </c>
      <c r="E2202" s="602">
        <v>150000</v>
      </c>
      <c r="F2202" s="162">
        <f>E2202*C2202</f>
        <v>300000</v>
      </c>
      <c r="G2202" s="611"/>
    </row>
    <row r="2203" spans="1:7" customFormat="1" ht="15.75" thickBot="1" x14ac:dyDescent="0.3">
      <c r="A2203" s="398"/>
      <c r="B2203" s="1784" t="s">
        <v>548</v>
      </c>
      <c r="C2203" s="1785"/>
      <c r="D2203" s="1785"/>
      <c r="E2203" s="1786"/>
      <c r="F2203" s="163">
        <f>SUM(F2200:F2202)</f>
        <v>3990000</v>
      </c>
      <c r="G2203" s="600"/>
    </row>
    <row r="2204" spans="1:7" customFormat="1" ht="15" x14ac:dyDescent="0.25">
      <c r="A2204" s="391" t="s">
        <v>2251</v>
      </c>
      <c r="B2204" s="360" t="s">
        <v>1491</v>
      </c>
      <c r="C2204" s="210"/>
      <c r="D2204" s="211"/>
      <c r="E2204" s="207"/>
      <c r="F2204" s="164"/>
      <c r="G2204" s="202"/>
    </row>
    <row r="2205" spans="1:7" customFormat="1" ht="33" x14ac:dyDescent="0.25">
      <c r="A2205" s="400"/>
      <c r="B2205" s="177" t="s">
        <v>2252</v>
      </c>
      <c r="C2205" s="210">
        <v>15</v>
      </c>
      <c r="D2205" s="211" t="s">
        <v>843</v>
      </c>
      <c r="E2205" s="178">
        <v>405000</v>
      </c>
      <c r="F2205" s="164">
        <f>E2205*C2205</f>
        <v>6075000</v>
      </c>
      <c r="G2205" s="202"/>
    </row>
    <row r="2206" spans="1:7" customFormat="1" ht="16.5" x14ac:dyDescent="0.25">
      <c r="A2206" s="400"/>
      <c r="B2206" s="177" t="s">
        <v>2253</v>
      </c>
      <c r="C2206" s="210">
        <v>2505</v>
      </c>
      <c r="D2206" s="211" t="s">
        <v>159</v>
      </c>
      <c r="E2206" s="178">
        <v>3000</v>
      </c>
      <c r="F2206" s="164">
        <f t="shared" ref="F2206:F2212" si="28">E2206*C2206</f>
        <v>7515000</v>
      </c>
      <c r="G2206" s="202"/>
    </row>
    <row r="2207" spans="1:7" customFormat="1" ht="16.5" x14ac:dyDescent="0.25">
      <c r="A2207" s="400"/>
      <c r="B2207" s="177" t="s">
        <v>1492</v>
      </c>
      <c r="C2207" s="210">
        <v>6</v>
      </c>
      <c r="D2207" s="211" t="s">
        <v>843</v>
      </c>
      <c r="E2207" s="178">
        <v>400000</v>
      </c>
      <c r="F2207" s="164">
        <f t="shared" si="28"/>
        <v>2400000</v>
      </c>
      <c r="G2207" s="202"/>
    </row>
    <row r="2208" spans="1:7" customFormat="1" ht="16.5" x14ac:dyDescent="0.25">
      <c r="A2208" s="400"/>
      <c r="B2208" s="177" t="s">
        <v>2254</v>
      </c>
      <c r="C2208" s="197">
        <v>1</v>
      </c>
      <c r="D2208" s="197" t="s">
        <v>110</v>
      </c>
      <c r="E2208" s="175">
        <v>250000</v>
      </c>
      <c r="F2208" s="164">
        <f t="shared" si="28"/>
        <v>250000</v>
      </c>
      <c r="G2208" s="202"/>
    </row>
    <row r="2209" spans="1:21" customFormat="1" ht="16.5" x14ac:dyDescent="0.25">
      <c r="A2209" s="400"/>
      <c r="B2209" s="177" t="s">
        <v>1497</v>
      </c>
      <c r="C2209" s="197">
        <v>1</v>
      </c>
      <c r="D2209" s="197" t="s">
        <v>110</v>
      </c>
      <c r="E2209" s="175">
        <v>500000</v>
      </c>
      <c r="F2209" s="164">
        <f t="shared" si="28"/>
        <v>500000</v>
      </c>
      <c r="G2209" s="202"/>
    </row>
    <row r="2210" spans="1:21" customFormat="1" ht="16.5" x14ac:dyDescent="0.25">
      <c r="A2210" s="400"/>
      <c r="B2210" s="177" t="s">
        <v>2309</v>
      </c>
      <c r="C2210" s="197">
        <v>5</v>
      </c>
      <c r="D2210" s="197" t="s">
        <v>2310</v>
      </c>
      <c r="E2210" s="175">
        <v>61000</v>
      </c>
      <c r="F2210" s="164">
        <f t="shared" si="28"/>
        <v>305000</v>
      </c>
      <c r="G2210" s="202"/>
    </row>
    <row r="2211" spans="1:21" customFormat="1" ht="16.5" x14ac:dyDescent="0.25">
      <c r="A2211" s="400"/>
      <c r="B2211" s="177" t="s">
        <v>2311</v>
      </c>
      <c r="C2211" s="197">
        <v>20</v>
      </c>
      <c r="D2211" s="197" t="s">
        <v>110</v>
      </c>
      <c r="E2211" s="175">
        <v>24000</v>
      </c>
      <c r="F2211" s="164">
        <f t="shared" si="28"/>
        <v>480000</v>
      </c>
      <c r="G2211" s="202"/>
    </row>
    <row r="2212" spans="1:21" customFormat="1" ht="16.5" x14ac:dyDescent="0.25">
      <c r="A2212" s="400"/>
      <c r="B2212" s="177" t="s">
        <v>2312</v>
      </c>
      <c r="C2212" s="197">
        <v>1</v>
      </c>
      <c r="D2212" s="197" t="s">
        <v>1694</v>
      </c>
      <c r="E2212" s="175">
        <v>200000</v>
      </c>
      <c r="F2212" s="164">
        <f t="shared" si="28"/>
        <v>200000</v>
      </c>
      <c r="G2212" s="202"/>
    </row>
    <row r="2213" spans="1:21" customFormat="1" ht="16.5" x14ac:dyDescent="0.25">
      <c r="A2213" s="400"/>
      <c r="B2213" s="177"/>
      <c r="C2213" s="197"/>
      <c r="D2213" s="197"/>
      <c r="E2213" s="175"/>
      <c r="F2213" s="164"/>
      <c r="G2213" s="202"/>
    </row>
    <row r="2214" spans="1:21" customFormat="1" ht="15.75" thickBot="1" x14ac:dyDescent="0.3">
      <c r="A2214" s="257"/>
      <c r="B2214" s="159"/>
      <c r="C2214" s="393"/>
      <c r="D2214" s="160"/>
      <c r="E2214" s="161"/>
      <c r="F2214" s="162"/>
      <c r="G2214" s="202"/>
    </row>
    <row r="2215" spans="1:21" customFormat="1" ht="15.75" thickBot="1" x14ac:dyDescent="0.3">
      <c r="A2215" s="210"/>
      <c r="B2215" s="1781" t="s">
        <v>548</v>
      </c>
      <c r="C2215" s="1782"/>
      <c r="D2215" s="1782"/>
      <c r="E2215" s="1783"/>
      <c r="F2215" s="163">
        <f>SUM(F2205:F2213)</f>
        <v>17725000</v>
      </c>
      <c r="G2215" s="399"/>
    </row>
    <row r="2216" spans="1:21" customFormat="1" ht="15.75" thickBot="1" x14ac:dyDescent="0.3">
      <c r="A2216" s="210"/>
      <c r="B2216" s="1781" t="s">
        <v>26</v>
      </c>
      <c r="C2216" s="1782"/>
      <c r="D2216" s="1782"/>
      <c r="E2216" s="1783"/>
      <c r="F2216" s="163">
        <f>F2215+F2203+F2198</f>
        <v>22241320</v>
      </c>
      <c r="G2216" s="399" t="s">
        <v>2571</v>
      </c>
      <c r="L2216" s="172"/>
      <c r="U2216" s="172">
        <f>F2216</f>
        <v>22241320</v>
      </c>
    </row>
    <row r="2217" spans="1:21" x14ac:dyDescent="0.2">
      <c r="A2217" s="1762" t="s">
        <v>549</v>
      </c>
      <c r="B2217" s="1762"/>
      <c r="C2217" s="188" t="s">
        <v>27</v>
      </c>
      <c r="D2217" s="1763" t="s">
        <v>1429</v>
      </c>
      <c r="E2217" s="1763"/>
      <c r="F2217" s="1763"/>
      <c r="G2217" s="188"/>
    </row>
    <row r="2218" spans="1:21" x14ac:dyDescent="0.2">
      <c r="A2218" s="1762" t="s">
        <v>28</v>
      </c>
      <c r="B2218" s="1762"/>
      <c r="C2218" s="188"/>
      <c r="D2218" s="1764" t="s">
        <v>2833</v>
      </c>
      <c r="E2218" s="1764"/>
      <c r="F2218" s="1764"/>
      <c r="G2218" s="188"/>
    </row>
    <row r="2219" spans="1:21" x14ac:dyDescent="0.2">
      <c r="A2219" s="186"/>
      <c r="B2219" s="187"/>
      <c r="C2219" s="188"/>
      <c r="D2219" s="189"/>
      <c r="E2219" s="218"/>
      <c r="F2219" s="218"/>
      <c r="G2219" s="188"/>
    </row>
    <row r="2220" spans="1:21" x14ac:dyDescent="0.2">
      <c r="A2220" s="186"/>
      <c r="B2220" s="187"/>
      <c r="C2220" s="188"/>
      <c r="D2220" s="189"/>
      <c r="E2220" s="218"/>
      <c r="F2220" s="218"/>
      <c r="G2220" s="188"/>
    </row>
    <row r="2221" spans="1:21" x14ac:dyDescent="0.2">
      <c r="A2221" s="1762"/>
      <c r="B2221" s="1762"/>
      <c r="C2221" s="188"/>
      <c r="D2221" s="189"/>
      <c r="E2221" s="1762"/>
      <c r="F2221" s="1762"/>
      <c r="G2221" s="188"/>
    </row>
    <row r="2222" spans="1:21" x14ac:dyDescent="0.2">
      <c r="A2222" s="1762" t="s">
        <v>29</v>
      </c>
      <c r="B2222" s="1762"/>
      <c r="C2222" s="188"/>
      <c r="D2222" s="1762" t="s">
        <v>2954</v>
      </c>
      <c r="E2222" s="1762"/>
      <c r="F2222" s="1762"/>
      <c r="G2222" s="188"/>
    </row>
    <row r="2223" spans="1:21" customFormat="1" ht="15" x14ac:dyDescent="0.25"/>
    <row r="2224" spans="1:21" customFormat="1" ht="15" x14ac:dyDescent="0.25"/>
    <row r="2225" spans="1:7" customFormat="1" ht="15" x14ac:dyDescent="0.25"/>
    <row r="2226" spans="1:7" customFormat="1" ht="15" x14ac:dyDescent="0.25"/>
    <row r="2227" spans="1:7" customFormat="1" ht="15" x14ac:dyDescent="0.25"/>
    <row r="2228" spans="1:7" customFormat="1" ht="15" x14ac:dyDescent="0.25"/>
    <row r="2229" spans="1:7" customFormat="1" ht="15" x14ac:dyDescent="0.25"/>
    <row r="2230" spans="1:7" customFormat="1" ht="15" x14ac:dyDescent="0.25"/>
    <row r="2231" spans="1:7" customFormat="1" ht="15" x14ac:dyDescent="0.25"/>
    <row r="2232" spans="1:7" customFormat="1" ht="15" x14ac:dyDescent="0.25"/>
    <row r="2233" spans="1:7" customFormat="1" ht="15" x14ac:dyDescent="0.25"/>
    <row r="2234" spans="1:7" customFormat="1" ht="15" x14ac:dyDescent="0.25"/>
    <row r="2235" spans="1:7" customFormat="1" ht="15" x14ac:dyDescent="0.25"/>
    <row r="2236" spans="1:7" customFormat="1" ht="15" x14ac:dyDescent="0.25"/>
    <row r="2237" spans="1:7" customFormat="1" ht="15" x14ac:dyDescent="0.25"/>
    <row r="2238" spans="1:7" customFormat="1" ht="15" x14ac:dyDescent="0.25">
      <c r="A2238" s="1796" t="s">
        <v>0</v>
      </c>
      <c r="B2238" s="1796"/>
      <c r="C2238" s="1796"/>
      <c r="D2238" s="1796"/>
      <c r="E2238" s="1796"/>
      <c r="F2238" s="1796"/>
      <c r="G2238" s="1796"/>
    </row>
    <row r="2239" spans="1:7" customFormat="1" ht="15" x14ac:dyDescent="0.25">
      <c r="A2239" s="1796" t="s">
        <v>1</v>
      </c>
      <c r="B2239" s="1796"/>
      <c r="C2239" s="1796"/>
      <c r="D2239" s="1796"/>
      <c r="E2239" s="1796"/>
      <c r="F2239" s="1796"/>
      <c r="G2239" s="1796"/>
    </row>
    <row r="2240" spans="1:7" customFormat="1" ht="15" x14ac:dyDescent="0.25">
      <c r="A2240" s="1796" t="s">
        <v>1769</v>
      </c>
      <c r="B2240" s="1796"/>
      <c r="C2240" s="1796"/>
      <c r="D2240" s="1796"/>
      <c r="E2240" s="1796"/>
      <c r="F2240" s="1796"/>
      <c r="G2240" s="1796"/>
    </row>
    <row r="2241" spans="1:7" customFormat="1" ht="15" x14ac:dyDescent="0.25">
      <c r="A2241" s="374"/>
      <c r="B2241" s="375"/>
      <c r="C2241" s="376"/>
      <c r="D2241" s="376"/>
      <c r="E2241" s="377"/>
      <c r="F2241" s="377"/>
      <c r="G2241" s="377"/>
    </row>
    <row r="2242" spans="1:7" customFormat="1" ht="15" x14ac:dyDescent="0.25">
      <c r="A2242" s="377" t="s">
        <v>1483</v>
      </c>
      <c r="B2242" s="378"/>
      <c r="C2242" s="379"/>
      <c r="D2242" s="379"/>
      <c r="E2242" s="380"/>
      <c r="F2242" s="380"/>
      <c r="G2242" s="377"/>
    </row>
    <row r="2243" spans="1:7" customFormat="1" ht="24.75" x14ac:dyDescent="0.25">
      <c r="A2243" s="381" t="s">
        <v>712</v>
      </c>
      <c r="B2243" s="382" t="s">
        <v>1504</v>
      </c>
      <c r="C2243" s="379"/>
      <c r="D2243" s="379"/>
      <c r="E2243" s="380" t="s">
        <v>1484</v>
      </c>
      <c r="F2243" s="380"/>
      <c r="G2243" s="377"/>
    </row>
    <row r="2244" spans="1:7" customFormat="1" ht="90" x14ac:dyDescent="0.25">
      <c r="A2244" s="383" t="s">
        <v>749</v>
      </c>
      <c r="B2244" s="384" t="s">
        <v>2470</v>
      </c>
      <c r="C2244" s="379"/>
      <c r="D2244" s="379"/>
      <c r="E2244" s="380" t="s">
        <v>1485</v>
      </c>
      <c r="F2244" s="380"/>
      <c r="G2244" s="381"/>
    </row>
    <row r="2245" spans="1:7" customFormat="1" ht="15" x14ac:dyDescent="0.25">
      <c r="A2245" s="383" t="s">
        <v>1486</v>
      </c>
      <c r="B2245" s="384" t="s">
        <v>2313</v>
      </c>
      <c r="C2245" s="379"/>
      <c r="D2245" s="379"/>
      <c r="E2245" s="380"/>
      <c r="F2245" s="380"/>
      <c r="G2245" s="381"/>
    </row>
    <row r="2246" spans="1:7" customFormat="1" ht="15" x14ac:dyDescent="0.25">
      <c r="A2246" s="377" t="s">
        <v>1487</v>
      </c>
      <c r="B2246" s="378" t="s">
        <v>61</v>
      </c>
      <c r="C2246" s="379"/>
      <c r="D2246" s="379"/>
      <c r="E2246" s="377"/>
      <c r="F2246" s="377"/>
      <c r="G2246" s="377"/>
    </row>
    <row r="2247" spans="1:7" customFormat="1" ht="15" x14ac:dyDescent="0.25">
      <c r="A2247" s="381" t="s">
        <v>62</v>
      </c>
      <c r="B2247" s="382" t="s">
        <v>63</v>
      </c>
      <c r="C2247" s="379"/>
      <c r="D2247" s="379"/>
      <c r="E2247" s="381"/>
      <c r="F2247" s="381"/>
      <c r="G2247" s="381"/>
    </row>
    <row r="2248" spans="1:7" customFormat="1" ht="15" x14ac:dyDescent="0.25">
      <c r="A2248" s="385"/>
      <c r="B2248" s="386"/>
      <c r="C2248" s="387"/>
      <c r="D2248" s="387"/>
      <c r="E2248" s="385"/>
      <c r="F2248" s="385"/>
      <c r="G2248" s="385"/>
    </row>
    <row r="2249" spans="1:7" customFormat="1" ht="24" x14ac:dyDescent="0.25">
      <c r="A2249" s="388" t="s">
        <v>30</v>
      </c>
      <c r="B2249" s="388" t="s">
        <v>11</v>
      </c>
      <c r="C2249" s="1787" t="s">
        <v>12</v>
      </c>
      <c r="D2249" s="1788"/>
      <c r="E2249" s="152" t="s">
        <v>13</v>
      </c>
      <c r="F2249" s="389" t="s">
        <v>14</v>
      </c>
      <c r="G2249" s="390" t="s">
        <v>266</v>
      </c>
    </row>
    <row r="2250" spans="1:7" customFormat="1" ht="15" x14ac:dyDescent="0.25">
      <c r="A2250" s="197">
        <v>1</v>
      </c>
      <c r="B2250" s="198">
        <v>2</v>
      </c>
      <c r="C2250" s="1773">
        <v>3</v>
      </c>
      <c r="D2250" s="1774"/>
      <c r="E2250" s="2">
        <v>4</v>
      </c>
      <c r="F2250" s="205">
        <v>5</v>
      </c>
      <c r="G2250" s="202">
        <v>7</v>
      </c>
    </row>
    <row r="2251" spans="1:7" customFormat="1" ht="15" x14ac:dyDescent="0.25">
      <c r="A2251" s="391" t="s">
        <v>2244</v>
      </c>
      <c r="B2251" s="153" t="s">
        <v>1505</v>
      </c>
      <c r="C2251" s="154"/>
      <c r="D2251" s="155"/>
      <c r="E2251" s="156"/>
      <c r="F2251" s="157"/>
      <c r="G2251" s="202"/>
    </row>
    <row r="2252" spans="1:7" customFormat="1" ht="15" x14ac:dyDescent="0.25">
      <c r="A2252" s="391" t="s">
        <v>2245</v>
      </c>
      <c r="B2252" s="153" t="s">
        <v>2246</v>
      </c>
      <c r="C2252" s="154"/>
      <c r="D2252" s="155"/>
      <c r="E2252" s="156"/>
      <c r="F2252" s="157"/>
      <c r="G2252" s="202"/>
    </row>
    <row r="2253" spans="1:7" customFormat="1" ht="24" x14ac:dyDescent="0.25">
      <c r="A2253" s="391" t="s">
        <v>2247</v>
      </c>
      <c r="B2253" s="153" t="s">
        <v>1499</v>
      </c>
      <c r="C2253" s="392"/>
      <c r="D2253" s="155"/>
      <c r="E2253" s="156">
        <v>265320</v>
      </c>
      <c r="F2253" s="157"/>
      <c r="G2253" s="202"/>
    </row>
    <row r="2254" spans="1:7" customFormat="1" ht="15.75" thickBot="1" x14ac:dyDescent="0.3">
      <c r="A2254" s="257"/>
      <c r="B2254" s="158" t="s">
        <v>2248</v>
      </c>
      <c r="C2254" s="392">
        <v>1</v>
      </c>
      <c r="D2254" s="155" t="s">
        <v>222</v>
      </c>
      <c r="E2254" s="156">
        <v>265320</v>
      </c>
      <c r="F2254" s="157">
        <f>E2254*C2254</f>
        <v>265320</v>
      </c>
      <c r="G2254" s="202"/>
    </row>
    <row r="2255" spans="1:7" customFormat="1" ht="15.75" thickBot="1" x14ac:dyDescent="0.3">
      <c r="A2255" s="207"/>
      <c r="B2255" s="1781" t="s">
        <v>548</v>
      </c>
      <c r="C2255" s="1782"/>
      <c r="D2255" s="1782"/>
      <c r="E2255" s="1783"/>
      <c r="F2255" s="163">
        <f>SUM(F2254:F2254)</f>
        <v>265320</v>
      </c>
      <c r="G2255" s="202"/>
    </row>
    <row r="2256" spans="1:7" customFormat="1" ht="15" x14ac:dyDescent="0.25">
      <c r="A2256" s="391" t="s">
        <v>2249</v>
      </c>
      <c r="B2256" s="394" t="s">
        <v>1488</v>
      </c>
      <c r="C2256" s="210"/>
      <c r="D2256" s="211"/>
      <c r="E2256" s="207"/>
      <c r="F2256" s="164"/>
      <c r="G2256" s="202"/>
    </row>
    <row r="2257" spans="1:21" customFormat="1" ht="15" x14ac:dyDescent="0.25">
      <c r="A2257" s="391"/>
      <c r="B2257" s="395" t="s">
        <v>1489</v>
      </c>
      <c r="C2257" s="205">
        <v>4</v>
      </c>
      <c r="D2257" s="206" t="s">
        <v>419</v>
      </c>
      <c r="E2257" s="175">
        <v>150000</v>
      </c>
      <c r="F2257" s="157">
        <f>E2257*C2257</f>
        <v>600000</v>
      </c>
      <c r="G2257" s="202"/>
    </row>
    <row r="2258" spans="1:21" customFormat="1" ht="15.75" thickBot="1" x14ac:dyDescent="0.3">
      <c r="A2258" s="597"/>
      <c r="B2258" s="396" t="s">
        <v>1490</v>
      </c>
      <c r="C2258" s="397">
        <v>8</v>
      </c>
      <c r="D2258" s="236" t="s">
        <v>419</v>
      </c>
      <c r="E2258" s="174">
        <v>130000</v>
      </c>
      <c r="F2258" s="162">
        <f>E2258*C2258</f>
        <v>1040000</v>
      </c>
      <c r="G2258" s="598"/>
    </row>
    <row r="2259" spans="1:21" customFormat="1" ht="15.75" thickBot="1" x14ac:dyDescent="0.3">
      <c r="A2259" s="398"/>
      <c r="B2259" s="1784" t="s">
        <v>548</v>
      </c>
      <c r="C2259" s="1785"/>
      <c r="D2259" s="1785"/>
      <c r="E2259" s="1786"/>
      <c r="F2259" s="163">
        <f>SUM(F2257:F2258)</f>
        <v>1640000</v>
      </c>
      <c r="G2259" s="600"/>
    </row>
    <row r="2260" spans="1:21" customFormat="1" ht="15" x14ac:dyDescent="0.25">
      <c r="A2260" s="391" t="s">
        <v>2251</v>
      </c>
      <c r="B2260" s="360" t="s">
        <v>1491</v>
      </c>
      <c r="C2260" s="210"/>
      <c r="D2260" s="211"/>
      <c r="E2260" s="207"/>
      <c r="F2260" s="164"/>
      <c r="G2260" s="202"/>
    </row>
    <row r="2261" spans="1:21" customFormat="1" ht="16.5" x14ac:dyDescent="0.25">
      <c r="A2261" s="400"/>
      <c r="B2261" s="179" t="s">
        <v>2253</v>
      </c>
      <c r="C2261" s="210">
        <v>1974</v>
      </c>
      <c r="D2261" s="211" t="s">
        <v>2265</v>
      </c>
      <c r="E2261" s="178">
        <v>3000</v>
      </c>
      <c r="F2261" s="164">
        <f>E2261*C2261</f>
        <v>5922000</v>
      </c>
      <c r="G2261" s="202"/>
    </row>
    <row r="2262" spans="1:21" customFormat="1" ht="16.5" x14ac:dyDescent="0.25">
      <c r="A2262" s="400"/>
      <c r="B2262" s="181" t="s">
        <v>2266</v>
      </c>
      <c r="C2262" s="210">
        <v>3</v>
      </c>
      <c r="D2262" s="211" t="s">
        <v>2314</v>
      </c>
      <c r="E2262" s="178">
        <v>325000</v>
      </c>
      <c r="F2262" s="164">
        <f>E2262*C2262</f>
        <v>975000</v>
      </c>
      <c r="G2262" s="202"/>
    </row>
    <row r="2263" spans="1:21" customFormat="1" ht="16.5" x14ac:dyDescent="0.25">
      <c r="A2263" s="400"/>
      <c r="B2263" s="179" t="s">
        <v>2267</v>
      </c>
      <c r="C2263" s="210">
        <v>4</v>
      </c>
      <c r="D2263" s="211" t="s">
        <v>843</v>
      </c>
      <c r="E2263" s="178">
        <v>350000</v>
      </c>
      <c r="F2263" s="164">
        <f>E2263*C2263</f>
        <v>1400000</v>
      </c>
      <c r="G2263" s="202"/>
    </row>
    <row r="2264" spans="1:21" customFormat="1" ht="15.75" thickBot="1" x14ac:dyDescent="0.3">
      <c r="A2264" s="257"/>
      <c r="B2264" s="159"/>
      <c r="C2264" s="393"/>
      <c r="D2264" s="160"/>
      <c r="E2264" s="161"/>
      <c r="F2264" s="162"/>
      <c r="G2264" s="202"/>
    </row>
    <row r="2265" spans="1:21" customFormat="1" ht="15.75" thickBot="1" x14ac:dyDescent="0.3">
      <c r="A2265" s="210"/>
      <c r="B2265" s="1781" t="s">
        <v>548</v>
      </c>
      <c r="C2265" s="1782"/>
      <c r="D2265" s="1782"/>
      <c r="E2265" s="1783"/>
      <c r="F2265" s="163">
        <f>SUM(F2261:F2263)</f>
        <v>8297000</v>
      </c>
      <c r="G2265" s="399"/>
    </row>
    <row r="2266" spans="1:21" customFormat="1" ht="15.75" thickBot="1" x14ac:dyDescent="0.3">
      <c r="A2266" s="210"/>
      <c r="B2266" s="1781" t="s">
        <v>26</v>
      </c>
      <c r="C2266" s="1782"/>
      <c r="D2266" s="1782"/>
      <c r="E2266" s="1783"/>
      <c r="F2266" s="163">
        <f>F2265+F2259+F2255</f>
        <v>10202320</v>
      </c>
      <c r="G2266" s="399" t="s">
        <v>2571</v>
      </c>
      <c r="L2266" s="172"/>
      <c r="U2266" s="172">
        <f>F2266</f>
        <v>10202320</v>
      </c>
    </row>
    <row r="2267" spans="1:21" x14ac:dyDescent="0.2">
      <c r="A2267" s="1762" t="s">
        <v>549</v>
      </c>
      <c r="B2267" s="1762"/>
      <c r="C2267" s="188" t="s">
        <v>27</v>
      </c>
      <c r="D2267" s="1763" t="s">
        <v>1429</v>
      </c>
      <c r="E2267" s="1763"/>
      <c r="F2267" s="1763"/>
      <c r="G2267" s="188"/>
    </row>
    <row r="2268" spans="1:21" x14ac:dyDescent="0.2">
      <c r="A2268" s="1762" t="s">
        <v>28</v>
      </c>
      <c r="B2268" s="1762"/>
      <c r="C2268" s="188"/>
      <c r="D2268" s="1764" t="s">
        <v>2833</v>
      </c>
      <c r="E2268" s="1764"/>
      <c r="F2268" s="1764"/>
      <c r="G2268" s="188"/>
    </row>
    <row r="2269" spans="1:21" x14ac:dyDescent="0.2">
      <c r="A2269" s="186"/>
      <c r="B2269" s="187"/>
      <c r="C2269" s="188"/>
      <c r="D2269" s="189"/>
      <c r="E2269" s="218"/>
      <c r="F2269" s="218"/>
      <c r="G2269" s="188"/>
    </row>
    <row r="2270" spans="1:21" x14ac:dyDescent="0.2">
      <c r="A2270" s="186"/>
      <c r="B2270" s="187"/>
      <c r="C2270" s="188"/>
      <c r="D2270" s="189"/>
      <c r="E2270" s="218"/>
      <c r="F2270" s="218"/>
      <c r="G2270" s="188"/>
    </row>
    <row r="2271" spans="1:21" x14ac:dyDescent="0.2">
      <c r="A2271" s="1762"/>
      <c r="B2271" s="1762"/>
      <c r="C2271" s="188"/>
      <c r="D2271" s="189"/>
      <c r="E2271" s="1762"/>
      <c r="F2271" s="1762"/>
      <c r="G2271" s="188"/>
    </row>
    <row r="2272" spans="1:21" x14ac:dyDescent="0.2">
      <c r="A2272" s="1762" t="s">
        <v>29</v>
      </c>
      <c r="B2272" s="1762"/>
      <c r="C2272" s="188"/>
      <c r="D2272" s="1762" t="s">
        <v>2954</v>
      </c>
      <c r="E2272" s="1762"/>
      <c r="F2272" s="1762"/>
      <c r="G2272" s="188"/>
    </row>
    <row r="2273" spans="1:7" customFormat="1" ht="15" x14ac:dyDescent="0.25"/>
    <row r="2274" spans="1:7" customFormat="1" ht="15" x14ac:dyDescent="0.25"/>
    <row r="2275" spans="1:7" customFormat="1" ht="15" x14ac:dyDescent="0.25"/>
    <row r="2276" spans="1:7" customFormat="1" ht="15" x14ac:dyDescent="0.25"/>
    <row r="2277" spans="1:7" customFormat="1" ht="15" x14ac:dyDescent="0.25"/>
    <row r="2278" spans="1:7" customFormat="1" ht="15" x14ac:dyDescent="0.25"/>
    <row r="2279" spans="1:7" customFormat="1" ht="15" x14ac:dyDescent="0.25">
      <c r="A2279" s="1796" t="s">
        <v>995</v>
      </c>
      <c r="B2279" s="1796"/>
      <c r="C2279" s="1796"/>
      <c r="D2279" s="1796"/>
      <c r="E2279" s="1796"/>
      <c r="F2279" s="1796"/>
      <c r="G2279" s="1796"/>
    </row>
    <row r="2280" spans="1:7" customFormat="1" ht="15" x14ac:dyDescent="0.25">
      <c r="A2280" s="1796" t="s">
        <v>1</v>
      </c>
      <c r="B2280" s="1796"/>
      <c r="C2280" s="1796"/>
      <c r="D2280" s="1796"/>
      <c r="E2280" s="1796"/>
      <c r="F2280" s="1796"/>
      <c r="G2280" s="1796"/>
    </row>
    <row r="2281" spans="1:7" customFormat="1" ht="15" x14ac:dyDescent="0.25">
      <c r="A2281" s="1796" t="s">
        <v>1425</v>
      </c>
      <c r="B2281" s="1796"/>
      <c r="C2281" s="1796"/>
      <c r="D2281" s="1796"/>
      <c r="E2281" s="1796"/>
      <c r="F2281" s="1796"/>
      <c r="G2281" s="1796"/>
    </row>
    <row r="2282" spans="1:7" customFormat="1" ht="15" x14ac:dyDescent="0.25">
      <c r="A2282" s="374"/>
      <c r="B2282" s="375"/>
      <c r="C2282" s="376"/>
      <c r="D2282" s="376"/>
      <c r="E2282" s="377"/>
      <c r="F2282" s="377"/>
      <c r="G2282" s="377"/>
    </row>
    <row r="2283" spans="1:7" customFormat="1" ht="15" x14ac:dyDescent="0.25">
      <c r="A2283" s="377" t="s">
        <v>1483</v>
      </c>
      <c r="B2283" s="378"/>
      <c r="C2283" s="379"/>
      <c r="D2283" s="379"/>
      <c r="E2283" s="380"/>
      <c r="F2283" s="380"/>
      <c r="G2283" s="377"/>
    </row>
    <row r="2284" spans="1:7" customFormat="1" ht="24.75" x14ac:dyDescent="0.25">
      <c r="A2284" s="381" t="s">
        <v>712</v>
      </c>
      <c r="B2284" s="382" t="s">
        <v>1504</v>
      </c>
      <c r="C2284" s="379"/>
      <c r="D2284" s="379"/>
      <c r="E2284" s="380" t="s">
        <v>1484</v>
      </c>
      <c r="F2284" s="380"/>
      <c r="G2284" s="377"/>
    </row>
    <row r="2285" spans="1:7" customFormat="1" ht="90" x14ac:dyDescent="0.25">
      <c r="A2285" s="383" t="s">
        <v>749</v>
      </c>
      <c r="B2285" s="384" t="s">
        <v>2471</v>
      </c>
      <c r="C2285" s="379"/>
      <c r="D2285" s="379"/>
      <c r="E2285" s="380" t="s">
        <v>1485</v>
      </c>
      <c r="F2285" s="380"/>
      <c r="G2285" s="381"/>
    </row>
    <row r="2286" spans="1:7" customFormat="1" ht="15" x14ac:dyDescent="0.25">
      <c r="A2286" s="383" t="s">
        <v>1486</v>
      </c>
      <c r="B2286" s="384" t="s">
        <v>2315</v>
      </c>
      <c r="C2286" s="379"/>
      <c r="D2286" s="379"/>
      <c r="E2286" s="380"/>
      <c r="F2286" s="380"/>
      <c r="G2286" s="381"/>
    </row>
    <row r="2287" spans="1:7" customFormat="1" ht="15" x14ac:dyDescent="0.25">
      <c r="A2287" s="377" t="s">
        <v>1487</v>
      </c>
      <c r="B2287" s="378" t="s">
        <v>61</v>
      </c>
      <c r="C2287" s="379"/>
      <c r="D2287" s="379"/>
      <c r="E2287" s="377"/>
      <c r="F2287" s="377"/>
      <c r="G2287" s="377"/>
    </row>
    <row r="2288" spans="1:7" customFormat="1" ht="15" x14ac:dyDescent="0.25">
      <c r="A2288" s="381" t="s">
        <v>62</v>
      </c>
      <c r="B2288" s="382" t="s">
        <v>63</v>
      </c>
      <c r="C2288" s="379"/>
      <c r="D2288" s="379"/>
      <c r="E2288" s="381"/>
      <c r="F2288" s="381"/>
      <c r="G2288" s="381"/>
    </row>
    <row r="2289" spans="1:7" customFormat="1" ht="15" x14ac:dyDescent="0.25">
      <c r="A2289" s="385"/>
      <c r="B2289" s="386"/>
      <c r="C2289" s="387"/>
      <c r="D2289" s="387"/>
      <c r="E2289" s="385"/>
      <c r="F2289" s="385"/>
      <c r="G2289" s="385"/>
    </row>
    <row r="2290" spans="1:7" customFormat="1" ht="24" x14ac:dyDescent="0.25">
      <c r="A2290" s="388" t="s">
        <v>30</v>
      </c>
      <c r="B2290" s="388" t="s">
        <v>11</v>
      </c>
      <c r="C2290" s="1787" t="s">
        <v>12</v>
      </c>
      <c r="D2290" s="1788"/>
      <c r="E2290" s="152" t="s">
        <v>13</v>
      </c>
      <c r="F2290" s="389" t="s">
        <v>14</v>
      </c>
      <c r="G2290" s="390" t="s">
        <v>266</v>
      </c>
    </row>
    <row r="2291" spans="1:7" customFormat="1" ht="15" x14ac:dyDescent="0.25">
      <c r="A2291" s="197">
        <v>1</v>
      </c>
      <c r="B2291" s="198">
        <v>2</v>
      </c>
      <c r="C2291" s="1773">
        <v>3</v>
      </c>
      <c r="D2291" s="1774"/>
      <c r="E2291" s="2">
        <v>4</v>
      </c>
      <c r="F2291" s="205">
        <v>5</v>
      </c>
      <c r="G2291" s="202">
        <v>7</v>
      </c>
    </row>
    <row r="2292" spans="1:7" customFormat="1" ht="15" x14ac:dyDescent="0.25">
      <c r="A2292" s="391" t="s">
        <v>2244</v>
      </c>
      <c r="B2292" s="153" t="s">
        <v>1505</v>
      </c>
      <c r="C2292" s="154"/>
      <c r="D2292" s="155"/>
      <c r="E2292" s="156"/>
      <c r="F2292" s="157"/>
      <c r="G2292" s="202"/>
    </row>
    <row r="2293" spans="1:7" customFormat="1" ht="15" x14ac:dyDescent="0.25">
      <c r="A2293" s="391" t="s">
        <v>2245</v>
      </c>
      <c r="B2293" s="153" t="s">
        <v>2246</v>
      </c>
      <c r="C2293" s="154"/>
      <c r="D2293" s="155"/>
      <c r="E2293" s="156"/>
      <c r="F2293" s="157"/>
      <c r="G2293" s="202"/>
    </row>
    <row r="2294" spans="1:7" customFormat="1" ht="24" x14ac:dyDescent="0.25">
      <c r="A2294" s="391" t="s">
        <v>2247</v>
      </c>
      <c r="B2294" s="153" t="s">
        <v>1499</v>
      </c>
      <c r="C2294" s="392"/>
      <c r="D2294" s="155"/>
      <c r="E2294" s="156"/>
      <c r="F2294" s="157"/>
      <c r="G2294" s="202"/>
    </row>
    <row r="2295" spans="1:7" customFormat="1" ht="15.75" thickBot="1" x14ac:dyDescent="0.3">
      <c r="A2295" s="257"/>
      <c r="B2295" s="158" t="s">
        <v>2248</v>
      </c>
      <c r="C2295" s="392">
        <v>1</v>
      </c>
      <c r="D2295" s="155" t="s">
        <v>222</v>
      </c>
      <c r="E2295" s="156">
        <v>323526</v>
      </c>
      <c r="F2295" s="157">
        <f>E2295*C2295</f>
        <v>323526</v>
      </c>
      <c r="G2295" s="202"/>
    </row>
    <row r="2296" spans="1:7" customFormat="1" ht="15.75" thickBot="1" x14ac:dyDescent="0.3">
      <c r="A2296" s="207"/>
      <c r="B2296" s="1781" t="s">
        <v>548</v>
      </c>
      <c r="C2296" s="1782"/>
      <c r="D2296" s="1782"/>
      <c r="E2296" s="1783"/>
      <c r="F2296" s="163">
        <f>SUM(F2295:F2295)</f>
        <v>323526</v>
      </c>
      <c r="G2296" s="202"/>
    </row>
    <row r="2297" spans="1:7" customFormat="1" ht="15" x14ac:dyDescent="0.25">
      <c r="A2297" s="391" t="s">
        <v>2249</v>
      </c>
      <c r="B2297" s="394" t="s">
        <v>1488</v>
      </c>
      <c r="C2297" s="210"/>
      <c r="D2297" s="211"/>
      <c r="E2297" s="207"/>
      <c r="F2297" s="164"/>
      <c r="G2297" s="202"/>
    </row>
    <row r="2298" spans="1:7" customFormat="1" ht="15" x14ac:dyDescent="0.25">
      <c r="A2298" s="391"/>
      <c r="B2298" s="395" t="s">
        <v>1489</v>
      </c>
      <c r="C2298" s="205">
        <v>4</v>
      </c>
      <c r="D2298" s="206" t="s">
        <v>419</v>
      </c>
      <c r="E2298" s="175">
        <v>150000</v>
      </c>
      <c r="F2298" s="157">
        <f>E2298*C2298</f>
        <v>600000</v>
      </c>
      <c r="G2298" s="202"/>
    </row>
    <row r="2299" spans="1:7" customFormat="1" ht="15.75" thickBot="1" x14ac:dyDescent="0.3">
      <c r="A2299" s="597"/>
      <c r="B2299" s="396" t="s">
        <v>1490</v>
      </c>
      <c r="C2299" s="397">
        <v>9</v>
      </c>
      <c r="D2299" s="236" t="s">
        <v>419</v>
      </c>
      <c r="E2299" s="174">
        <v>130000</v>
      </c>
      <c r="F2299" s="162">
        <f>E2299*C2299</f>
        <v>1170000</v>
      </c>
      <c r="G2299" s="598"/>
    </row>
    <row r="2300" spans="1:7" customFormat="1" ht="15.75" thickBot="1" x14ac:dyDescent="0.3">
      <c r="A2300" s="398"/>
      <c r="B2300" s="1784" t="s">
        <v>548</v>
      </c>
      <c r="C2300" s="1785"/>
      <c r="D2300" s="1785"/>
      <c r="E2300" s="1786"/>
      <c r="F2300" s="163">
        <f>SUM(F2298:F2299)</f>
        <v>1770000</v>
      </c>
      <c r="G2300" s="600"/>
    </row>
    <row r="2301" spans="1:7" customFormat="1" ht="15" x14ac:dyDescent="0.25">
      <c r="A2301" s="391" t="s">
        <v>2251</v>
      </c>
      <c r="B2301" s="360" t="s">
        <v>1491</v>
      </c>
      <c r="C2301" s="210"/>
      <c r="D2301" s="211"/>
      <c r="E2301" s="207"/>
      <c r="F2301" s="164"/>
      <c r="G2301" s="202"/>
    </row>
    <row r="2302" spans="1:7" customFormat="1" ht="16.5" x14ac:dyDescent="0.25">
      <c r="A2302" s="400"/>
      <c r="B2302" s="179" t="s">
        <v>2253</v>
      </c>
      <c r="C2302" s="210">
        <v>2394</v>
      </c>
      <c r="D2302" s="211" t="s">
        <v>2265</v>
      </c>
      <c r="E2302" s="178">
        <v>3000</v>
      </c>
      <c r="F2302" s="164">
        <f>E2302*C2302</f>
        <v>7182000</v>
      </c>
      <c r="G2302" s="202"/>
    </row>
    <row r="2303" spans="1:7" customFormat="1" ht="16.5" x14ac:dyDescent="0.25">
      <c r="A2303" s="400"/>
      <c r="B2303" s="181" t="s">
        <v>2266</v>
      </c>
      <c r="C2303" s="210">
        <v>3.4</v>
      </c>
      <c r="D2303" s="211" t="s">
        <v>2314</v>
      </c>
      <c r="E2303" s="178">
        <v>325000</v>
      </c>
      <c r="F2303" s="164">
        <f>E2303*C2303</f>
        <v>1105000</v>
      </c>
      <c r="G2303" s="202"/>
    </row>
    <row r="2304" spans="1:7" customFormat="1" ht="16.5" x14ac:dyDescent="0.25">
      <c r="A2304" s="400"/>
      <c r="B2304" s="179" t="s">
        <v>2267</v>
      </c>
      <c r="C2304" s="210">
        <v>5.3</v>
      </c>
      <c r="D2304" s="211" t="s">
        <v>843</v>
      </c>
      <c r="E2304" s="178">
        <v>350000</v>
      </c>
      <c r="F2304" s="164">
        <f>E2304*C2304</f>
        <v>1855000</v>
      </c>
      <c r="G2304" s="202"/>
    </row>
    <row r="2305" spans="1:21" customFormat="1" ht="15.75" thickBot="1" x14ac:dyDescent="0.3">
      <c r="A2305" s="257"/>
      <c r="B2305" s="159"/>
      <c r="C2305" s="393"/>
      <c r="D2305" s="160"/>
      <c r="E2305" s="161"/>
      <c r="F2305" s="162"/>
      <c r="G2305" s="202"/>
    </row>
    <row r="2306" spans="1:21" customFormat="1" ht="15.75" thickBot="1" x14ac:dyDescent="0.3">
      <c r="A2306" s="210"/>
      <c r="B2306" s="1781" t="s">
        <v>548</v>
      </c>
      <c r="C2306" s="1782"/>
      <c r="D2306" s="1782"/>
      <c r="E2306" s="1783"/>
      <c r="F2306" s="163">
        <f>SUM(F2302:F2304)</f>
        <v>10142000</v>
      </c>
      <c r="G2306" s="399"/>
    </row>
    <row r="2307" spans="1:21" customFormat="1" ht="25.5" thickBot="1" x14ac:dyDescent="0.3">
      <c r="A2307" s="210"/>
      <c r="B2307" s="1781" t="s">
        <v>26</v>
      </c>
      <c r="C2307" s="1782"/>
      <c r="D2307" s="1782"/>
      <c r="E2307" s="1783"/>
      <c r="F2307" s="163">
        <f>F2306+F2300+F2296</f>
        <v>12235526</v>
      </c>
      <c r="G2307" s="1653" t="s">
        <v>2571</v>
      </c>
      <c r="L2307" s="172"/>
      <c r="U2307" s="172">
        <f>F2307</f>
        <v>12235526</v>
      </c>
    </row>
    <row r="2308" spans="1:21" x14ac:dyDescent="0.2">
      <c r="A2308" s="1762" t="s">
        <v>549</v>
      </c>
      <c r="B2308" s="1762"/>
      <c r="C2308" s="188" t="s">
        <v>27</v>
      </c>
      <c r="D2308" s="1763" t="s">
        <v>1429</v>
      </c>
      <c r="E2308" s="1763"/>
      <c r="F2308" s="1763"/>
      <c r="G2308" s="188"/>
    </row>
    <row r="2309" spans="1:21" x14ac:dyDescent="0.2">
      <c r="A2309" s="1762" t="s">
        <v>28</v>
      </c>
      <c r="B2309" s="1762"/>
      <c r="C2309" s="188"/>
      <c r="D2309" s="1764" t="s">
        <v>2833</v>
      </c>
      <c r="E2309" s="1764"/>
      <c r="F2309" s="1764"/>
      <c r="G2309" s="188"/>
    </row>
    <row r="2310" spans="1:21" x14ac:dyDescent="0.2">
      <c r="A2310" s="186"/>
      <c r="B2310" s="187"/>
      <c r="C2310" s="188"/>
      <c r="D2310" s="189"/>
      <c r="E2310" s="218"/>
      <c r="F2310" s="218"/>
      <c r="G2310" s="188"/>
    </row>
    <row r="2311" spans="1:21" x14ac:dyDescent="0.2">
      <c r="A2311" s="186"/>
      <c r="B2311" s="187"/>
      <c r="C2311" s="188"/>
      <c r="D2311" s="189"/>
      <c r="E2311" s="218"/>
      <c r="F2311" s="218"/>
      <c r="G2311" s="188"/>
    </row>
    <row r="2312" spans="1:21" x14ac:dyDescent="0.2">
      <c r="A2312" s="1762"/>
      <c r="B2312" s="1762"/>
      <c r="C2312" s="188"/>
      <c r="D2312" s="189"/>
      <c r="E2312" s="1762"/>
      <c r="F2312" s="1762"/>
      <c r="G2312" s="188"/>
    </row>
    <row r="2313" spans="1:21" x14ac:dyDescent="0.2">
      <c r="A2313" s="1762" t="s">
        <v>29</v>
      </c>
      <c r="B2313" s="1762"/>
      <c r="C2313" s="188"/>
      <c r="D2313" s="1762" t="s">
        <v>2954</v>
      </c>
      <c r="E2313" s="1762"/>
      <c r="F2313" s="1762"/>
      <c r="G2313" s="188"/>
    </row>
    <row r="2314" spans="1:21" customFormat="1" ht="15" x14ac:dyDescent="0.25"/>
    <row r="2315" spans="1:21" customFormat="1" ht="15" x14ac:dyDescent="0.25"/>
    <row r="2316" spans="1:21" customFormat="1" ht="15" x14ac:dyDescent="0.25"/>
    <row r="2317" spans="1:21" customFormat="1" ht="15" x14ac:dyDescent="0.25"/>
    <row r="2318" spans="1:21" customFormat="1" ht="15" x14ac:dyDescent="0.25"/>
    <row r="2319" spans="1:21" customFormat="1" ht="15" x14ac:dyDescent="0.25"/>
    <row r="2320" spans="1:21" customFormat="1" ht="15" x14ac:dyDescent="0.25"/>
    <row r="2321" spans="1:7" customFormat="1" ht="15" x14ac:dyDescent="0.25"/>
    <row r="2322" spans="1:7" customFormat="1" ht="15" x14ac:dyDescent="0.25"/>
    <row r="2323" spans="1:7" customFormat="1" ht="15" x14ac:dyDescent="0.25">
      <c r="A2323" s="1796" t="s">
        <v>0</v>
      </c>
      <c r="B2323" s="1796"/>
      <c r="C2323" s="1796"/>
      <c r="D2323" s="1796"/>
      <c r="E2323" s="1796"/>
      <c r="F2323" s="1796"/>
      <c r="G2323" s="1796"/>
    </row>
    <row r="2324" spans="1:7" customFormat="1" ht="15" x14ac:dyDescent="0.25">
      <c r="A2324" s="1796" t="s">
        <v>1</v>
      </c>
      <c r="B2324" s="1796"/>
      <c r="C2324" s="1796"/>
      <c r="D2324" s="1796"/>
      <c r="E2324" s="1796"/>
      <c r="F2324" s="1796"/>
      <c r="G2324" s="1796"/>
    </row>
    <row r="2325" spans="1:7" customFormat="1" ht="15" x14ac:dyDescent="0.25">
      <c r="A2325" s="1796" t="s">
        <v>1769</v>
      </c>
      <c r="B2325" s="1796"/>
      <c r="C2325" s="1796"/>
      <c r="D2325" s="1796"/>
      <c r="E2325" s="1796"/>
      <c r="F2325" s="1796"/>
      <c r="G2325" s="1796"/>
    </row>
    <row r="2326" spans="1:7" customFormat="1" ht="15" x14ac:dyDescent="0.25">
      <c r="A2326" s="374"/>
      <c r="B2326" s="375"/>
      <c r="C2326" s="376"/>
      <c r="D2326" s="376"/>
      <c r="E2326" s="377"/>
      <c r="F2326" s="377"/>
      <c r="G2326" s="377"/>
    </row>
    <row r="2327" spans="1:7" customFormat="1" ht="15" x14ac:dyDescent="0.25">
      <c r="A2327" s="377" t="s">
        <v>1483</v>
      </c>
      <c r="B2327" s="378"/>
      <c r="C2327" s="379"/>
      <c r="D2327" s="379"/>
      <c r="E2327" s="380"/>
      <c r="F2327" s="380"/>
      <c r="G2327" s="377"/>
    </row>
    <row r="2328" spans="1:7" customFormat="1" ht="24.75" x14ac:dyDescent="0.25">
      <c r="A2328" s="381" t="s">
        <v>712</v>
      </c>
      <c r="B2328" s="382" t="s">
        <v>1504</v>
      </c>
      <c r="C2328" s="379"/>
      <c r="D2328" s="379"/>
      <c r="E2328" s="380" t="s">
        <v>1484</v>
      </c>
      <c r="F2328" s="380"/>
      <c r="G2328" s="377"/>
    </row>
    <row r="2329" spans="1:7" customFormat="1" ht="75" x14ac:dyDescent="0.25">
      <c r="A2329" s="383" t="s">
        <v>749</v>
      </c>
      <c r="B2329" s="384" t="s">
        <v>2472</v>
      </c>
      <c r="C2329" s="379"/>
      <c r="D2329" s="379"/>
      <c r="E2329" s="380" t="s">
        <v>1485</v>
      </c>
      <c r="F2329" s="380"/>
      <c r="G2329" s="381"/>
    </row>
    <row r="2330" spans="1:7" customFormat="1" ht="15" x14ac:dyDescent="0.25">
      <c r="A2330" s="383" t="s">
        <v>1486</v>
      </c>
      <c r="B2330" s="384" t="s">
        <v>2316</v>
      </c>
      <c r="C2330" s="379"/>
      <c r="D2330" s="379"/>
      <c r="E2330" s="380"/>
      <c r="F2330" s="380"/>
      <c r="G2330" s="381"/>
    </row>
    <row r="2331" spans="1:7" customFormat="1" ht="15" x14ac:dyDescent="0.25">
      <c r="A2331" s="377" t="s">
        <v>1487</v>
      </c>
      <c r="B2331" s="378" t="s">
        <v>61</v>
      </c>
      <c r="C2331" s="379"/>
      <c r="D2331" s="379"/>
      <c r="E2331" s="377"/>
      <c r="F2331" s="377"/>
      <c r="G2331" s="377"/>
    </row>
    <row r="2332" spans="1:7" customFormat="1" ht="15" x14ac:dyDescent="0.25">
      <c r="A2332" s="381" t="s">
        <v>62</v>
      </c>
      <c r="B2332" s="382" t="s">
        <v>63</v>
      </c>
      <c r="C2332" s="379"/>
      <c r="D2332" s="379"/>
      <c r="E2332" s="381"/>
      <c r="F2332" s="381"/>
      <c r="G2332" s="381"/>
    </row>
    <row r="2333" spans="1:7" customFormat="1" ht="15" x14ac:dyDescent="0.25">
      <c r="A2333" s="385"/>
      <c r="B2333" s="386"/>
      <c r="C2333" s="387"/>
      <c r="D2333" s="387"/>
      <c r="E2333" s="385"/>
      <c r="F2333" s="385"/>
      <c r="G2333" s="385"/>
    </row>
    <row r="2334" spans="1:7" customFormat="1" ht="24" x14ac:dyDescent="0.25">
      <c r="A2334" s="388" t="s">
        <v>30</v>
      </c>
      <c r="B2334" s="388" t="s">
        <v>11</v>
      </c>
      <c r="C2334" s="1787" t="s">
        <v>12</v>
      </c>
      <c r="D2334" s="1788"/>
      <c r="E2334" s="152" t="s">
        <v>13</v>
      </c>
      <c r="F2334" s="389" t="s">
        <v>14</v>
      </c>
      <c r="G2334" s="390" t="s">
        <v>266</v>
      </c>
    </row>
    <row r="2335" spans="1:7" customFormat="1" ht="15" x14ac:dyDescent="0.25">
      <c r="A2335" s="197">
        <v>1</v>
      </c>
      <c r="B2335" s="198">
        <v>2</v>
      </c>
      <c r="C2335" s="1773">
        <v>3</v>
      </c>
      <c r="D2335" s="1774"/>
      <c r="E2335" s="2">
        <v>4</v>
      </c>
      <c r="F2335" s="205">
        <v>5</v>
      </c>
      <c r="G2335" s="202">
        <v>7</v>
      </c>
    </row>
    <row r="2336" spans="1:7" customFormat="1" ht="15" x14ac:dyDescent="0.25">
      <c r="A2336" s="391" t="s">
        <v>2244</v>
      </c>
      <c r="B2336" s="153" t="s">
        <v>1505</v>
      </c>
      <c r="C2336" s="154"/>
      <c r="D2336" s="155"/>
      <c r="E2336" s="156"/>
      <c r="F2336" s="157"/>
      <c r="G2336" s="202"/>
    </row>
    <row r="2337" spans="1:21" customFormat="1" ht="15" x14ac:dyDescent="0.25">
      <c r="A2337" s="391" t="s">
        <v>2245</v>
      </c>
      <c r="B2337" s="153" t="s">
        <v>2246</v>
      </c>
      <c r="C2337" s="154"/>
      <c r="D2337" s="155"/>
      <c r="E2337" s="156"/>
      <c r="F2337" s="157"/>
      <c r="G2337" s="202"/>
    </row>
    <row r="2338" spans="1:21" customFormat="1" ht="24" x14ac:dyDescent="0.25">
      <c r="A2338" s="391" t="s">
        <v>2247</v>
      </c>
      <c r="B2338" s="153" t="s">
        <v>1499</v>
      </c>
      <c r="C2338" s="392"/>
      <c r="D2338" s="155"/>
      <c r="E2338" s="156"/>
      <c r="F2338" s="157"/>
      <c r="G2338" s="202"/>
    </row>
    <row r="2339" spans="1:21" customFormat="1" ht="15.75" thickBot="1" x14ac:dyDescent="0.3">
      <c r="A2339" s="257"/>
      <c r="B2339" s="158" t="s">
        <v>2248</v>
      </c>
      <c r="C2339" s="392">
        <v>1</v>
      </c>
      <c r="D2339" s="155" t="s">
        <v>222</v>
      </c>
      <c r="E2339" s="156">
        <v>988640</v>
      </c>
      <c r="F2339" s="157">
        <f>E2339*C2339</f>
        <v>988640</v>
      </c>
      <c r="G2339" s="202"/>
    </row>
    <row r="2340" spans="1:21" customFormat="1" ht="15.75" thickBot="1" x14ac:dyDescent="0.3">
      <c r="A2340" s="207"/>
      <c r="B2340" s="1781" t="s">
        <v>548</v>
      </c>
      <c r="C2340" s="1782"/>
      <c r="D2340" s="1782"/>
      <c r="E2340" s="1783"/>
      <c r="F2340" s="163">
        <f>SUM(F2339:F2339)</f>
        <v>988640</v>
      </c>
      <c r="G2340" s="202"/>
    </row>
    <row r="2341" spans="1:21" customFormat="1" ht="15" x14ac:dyDescent="0.25">
      <c r="A2341" s="391" t="s">
        <v>2249</v>
      </c>
      <c r="B2341" s="394" t="s">
        <v>1488</v>
      </c>
      <c r="C2341" s="210"/>
      <c r="D2341" s="211"/>
      <c r="E2341" s="207"/>
      <c r="F2341" s="164"/>
      <c r="G2341" s="202"/>
    </row>
    <row r="2342" spans="1:21" customFormat="1" ht="15" x14ac:dyDescent="0.25">
      <c r="A2342" s="391"/>
      <c r="B2342" s="395" t="s">
        <v>1489</v>
      </c>
      <c r="C2342" s="205">
        <v>15</v>
      </c>
      <c r="D2342" s="206" t="s">
        <v>419</v>
      </c>
      <c r="E2342" s="175">
        <v>150000</v>
      </c>
      <c r="F2342" s="157">
        <f>E2342*C2342</f>
        <v>2250000</v>
      </c>
      <c r="G2342" s="202"/>
    </row>
    <row r="2343" spans="1:21" customFormat="1" ht="15.75" thickBot="1" x14ac:dyDescent="0.3">
      <c r="A2343" s="597"/>
      <c r="B2343" s="396" t="s">
        <v>1490</v>
      </c>
      <c r="C2343" s="397">
        <v>31</v>
      </c>
      <c r="D2343" s="236" t="s">
        <v>419</v>
      </c>
      <c r="E2343" s="174">
        <v>130000</v>
      </c>
      <c r="F2343" s="162">
        <f>E2343*C2343</f>
        <v>4030000</v>
      </c>
      <c r="G2343" s="202"/>
    </row>
    <row r="2344" spans="1:21" customFormat="1" ht="15.75" thickBot="1" x14ac:dyDescent="0.3">
      <c r="A2344" s="398"/>
      <c r="B2344" s="1784" t="s">
        <v>548</v>
      </c>
      <c r="C2344" s="1785"/>
      <c r="D2344" s="1785"/>
      <c r="E2344" s="1786"/>
      <c r="F2344" s="163">
        <f>SUM(F2342:F2343)</f>
        <v>6280000</v>
      </c>
      <c r="G2344" s="399"/>
    </row>
    <row r="2345" spans="1:21" customFormat="1" ht="15" x14ac:dyDescent="0.25">
      <c r="A2345" s="391" t="s">
        <v>2251</v>
      </c>
      <c r="B2345" s="360" t="s">
        <v>1491</v>
      </c>
      <c r="C2345" s="210"/>
      <c r="D2345" s="211"/>
      <c r="E2345" s="207"/>
      <c r="F2345" s="164"/>
      <c r="G2345" s="202"/>
    </row>
    <row r="2346" spans="1:21" customFormat="1" ht="16.5" x14ac:dyDescent="0.25">
      <c r="A2346" s="400"/>
      <c r="B2346" s="179" t="s">
        <v>2276</v>
      </c>
      <c r="C2346" s="210">
        <v>32</v>
      </c>
      <c r="D2346" s="211" t="s">
        <v>276</v>
      </c>
      <c r="E2346" s="178">
        <v>1700000</v>
      </c>
      <c r="F2346" s="164">
        <f>E2346*C2346</f>
        <v>54400000</v>
      </c>
      <c r="G2346" s="202"/>
    </row>
    <row r="2347" spans="1:21" customFormat="1" ht="17.25" thickBot="1" x14ac:dyDescent="0.3">
      <c r="A2347" s="400"/>
      <c r="B2347" s="181" t="s">
        <v>2277</v>
      </c>
      <c r="C2347" s="210">
        <v>48</v>
      </c>
      <c r="D2347" s="211" t="s">
        <v>843</v>
      </c>
      <c r="E2347" s="178">
        <v>35000</v>
      </c>
      <c r="F2347" s="164">
        <f>E2347*C2347</f>
        <v>1680000</v>
      </c>
      <c r="G2347" s="202"/>
    </row>
    <row r="2348" spans="1:21" customFormat="1" ht="15.75" thickBot="1" x14ac:dyDescent="0.3">
      <c r="A2348" s="210"/>
      <c r="B2348" s="1781" t="s">
        <v>548</v>
      </c>
      <c r="C2348" s="1782"/>
      <c r="D2348" s="1782"/>
      <c r="E2348" s="1783"/>
      <c r="F2348" s="163">
        <f>SUM(F2346:F2347)</f>
        <v>56080000</v>
      </c>
      <c r="G2348" s="399"/>
    </row>
    <row r="2349" spans="1:21" customFormat="1" ht="15.75" thickBot="1" x14ac:dyDescent="0.3">
      <c r="A2349" s="210"/>
      <c r="B2349" s="1781" t="s">
        <v>26</v>
      </c>
      <c r="C2349" s="1782"/>
      <c r="D2349" s="1782"/>
      <c r="E2349" s="1783"/>
      <c r="F2349" s="163">
        <f>F2348+F2344+F2340</f>
        <v>63348640</v>
      </c>
      <c r="G2349" s="399" t="s">
        <v>2571</v>
      </c>
      <c r="L2349" s="172"/>
      <c r="U2349" s="172">
        <f>F2349</f>
        <v>63348640</v>
      </c>
    </row>
    <row r="2350" spans="1:21" x14ac:dyDescent="0.2">
      <c r="A2350" s="1762" t="s">
        <v>549</v>
      </c>
      <c r="B2350" s="1762"/>
      <c r="C2350" s="188" t="s">
        <v>27</v>
      </c>
      <c r="D2350" s="1763" t="s">
        <v>1429</v>
      </c>
      <c r="E2350" s="1763"/>
      <c r="F2350" s="1763"/>
      <c r="G2350" s="188"/>
    </row>
    <row r="2351" spans="1:21" x14ac:dyDescent="0.2">
      <c r="A2351" s="1762" t="s">
        <v>28</v>
      </c>
      <c r="B2351" s="1762"/>
      <c r="C2351" s="188"/>
      <c r="D2351" s="1764" t="s">
        <v>2833</v>
      </c>
      <c r="E2351" s="1764"/>
      <c r="F2351" s="1764"/>
      <c r="G2351" s="188"/>
    </row>
    <row r="2352" spans="1:21" x14ac:dyDescent="0.2">
      <c r="A2352" s="186"/>
      <c r="B2352" s="187"/>
      <c r="C2352" s="188"/>
      <c r="D2352" s="189"/>
      <c r="E2352" s="218"/>
      <c r="F2352" s="218"/>
      <c r="G2352" s="188"/>
    </row>
    <row r="2353" spans="1:7" x14ac:dyDescent="0.2">
      <c r="A2353" s="186"/>
      <c r="B2353" s="187"/>
      <c r="C2353" s="188"/>
      <c r="D2353" s="189"/>
      <c r="E2353" s="218"/>
      <c r="F2353" s="218"/>
      <c r="G2353" s="188"/>
    </row>
    <row r="2354" spans="1:7" x14ac:dyDescent="0.2">
      <c r="A2354" s="1762"/>
      <c r="B2354" s="1762"/>
      <c r="C2354" s="188"/>
      <c r="D2354" s="189"/>
      <c r="E2354" s="1762"/>
      <c r="F2354" s="1762"/>
      <c r="G2354" s="188"/>
    </row>
    <row r="2355" spans="1:7" x14ac:dyDescent="0.2">
      <c r="A2355" s="1762" t="s">
        <v>29</v>
      </c>
      <c r="B2355" s="1762"/>
      <c r="C2355" s="188"/>
      <c r="D2355" s="1762" t="s">
        <v>2954</v>
      </c>
      <c r="E2355" s="1762"/>
      <c r="F2355" s="1762"/>
      <c r="G2355" s="188"/>
    </row>
    <row r="2356" spans="1:7" customFormat="1" ht="15" x14ac:dyDescent="0.25"/>
    <row r="2357" spans="1:7" customFormat="1" ht="15" x14ac:dyDescent="0.25"/>
    <row r="2358" spans="1:7" customFormat="1" ht="15" x14ac:dyDescent="0.25"/>
    <row r="2359" spans="1:7" customFormat="1" ht="15" x14ac:dyDescent="0.25"/>
    <row r="2360" spans="1:7" customFormat="1" ht="15" x14ac:dyDescent="0.25"/>
    <row r="2361" spans="1:7" customFormat="1" ht="15" x14ac:dyDescent="0.25"/>
    <row r="2362" spans="1:7" customFormat="1" ht="15" x14ac:dyDescent="0.25"/>
    <row r="2363" spans="1:7" customFormat="1" ht="15" x14ac:dyDescent="0.25"/>
    <row r="2364" spans="1:7" customFormat="1" ht="15" x14ac:dyDescent="0.25"/>
    <row r="2365" spans="1:7" customFormat="1" ht="15" x14ac:dyDescent="0.25"/>
    <row r="2366" spans="1:7" customFormat="1" ht="15" x14ac:dyDescent="0.25">
      <c r="A2366" s="1796" t="s">
        <v>0</v>
      </c>
      <c r="B2366" s="1796"/>
      <c r="C2366" s="1796"/>
      <c r="D2366" s="1796"/>
      <c r="E2366" s="1796"/>
      <c r="F2366" s="1796"/>
      <c r="G2366" s="1796"/>
    </row>
    <row r="2367" spans="1:7" customFormat="1" ht="15" x14ac:dyDescent="0.25">
      <c r="A2367" s="1796" t="s">
        <v>1</v>
      </c>
      <c r="B2367" s="1796"/>
      <c r="C2367" s="1796"/>
      <c r="D2367" s="1796"/>
      <c r="E2367" s="1796"/>
      <c r="F2367" s="1796"/>
      <c r="G2367" s="1796"/>
    </row>
    <row r="2368" spans="1:7" customFormat="1" ht="15" x14ac:dyDescent="0.25">
      <c r="A2368" s="1796" t="s">
        <v>1769</v>
      </c>
      <c r="B2368" s="1796"/>
      <c r="C2368" s="1796"/>
      <c r="D2368" s="1796"/>
      <c r="E2368" s="1796"/>
      <c r="F2368" s="1796"/>
      <c r="G2368" s="1796"/>
    </row>
    <row r="2369" spans="1:7" customFormat="1" ht="15" x14ac:dyDescent="0.25">
      <c r="A2369" s="374"/>
      <c r="B2369" s="375"/>
      <c r="C2369" s="376"/>
      <c r="D2369" s="376"/>
      <c r="E2369" s="377"/>
      <c r="F2369" s="377"/>
      <c r="G2369" s="377"/>
    </row>
    <row r="2370" spans="1:7" customFormat="1" ht="15" x14ac:dyDescent="0.25">
      <c r="A2370" s="377" t="s">
        <v>1483</v>
      </c>
      <c r="B2370" s="378"/>
      <c r="C2370" s="379"/>
      <c r="D2370" s="379"/>
      <c r="E2370" s="380"/>
      <c r="F2370" s="380"/>
      <c r="G2370" s="377"/>
    </row>
    <row r="2371" spans="1:7" customFormat="1" ht="24.75" x14ac:dyDescent="0.25">
      <c r="A2371" s="381" t="s">
        <v>712</v>
      </c>
      <c r="B2371" s="382" t="s">
        <v>1504</v>
      </c>
      <c r="C2371" s="379"/>
      <c r="D2371" s="379"/>
      <c r="E2371" s="380" t="s">
        <v>1484</v>
      </c>
      <c r="F2371" s="380"/>
      <c r="G2371" s="377"/>
    </row>
    <row r="2372" spans="1:7" customFormat="1" ht="75" x14ac:dyDescent="0.25">
      <c r="A2372" s="383" t="s">
        <v>749</v>
      </c>
      <c r="B2372" s="384" t="s">
        <v>2473</v>
      </c>
      <c r="C2372" s="379"/>
      <c r="D2372" s="379"/>
      <c r="E2372" s="380" t="s">
        <v>1485</v>
      </c>
      <c r="F2372" s="380"/>
      <c r="G2372" s="381"/>
    </row>
    <row r="2373" spans="1:7" customFormat="1" ht="30" x14ac:dyDescent="0.25">
      <c r="A2373" s="383" t="s">
        <v>1486</v>
      </c>
      <c r="B2373" s="384" t="s">
        <v>2317</v>
      </c>
      <c r="C2373" s="379"/>
      <c r="D2373" s="379"/>
      <c r="E2373" s="380"/>
      <c r="F2373" s="380"/>
      <c r="G2373" s="381"/>
    </row>
    <row r="2374" spans="1:7" customFormat="1" ht="15" x14ac:dyDescent="0.25">
      <c r="A2374" s="377" t="s">
        <v>1487</v>
      </c>
      <c r="B2374" s="378" t="s">
        <v>61</v>
      </c>
      <c r="C2374" s="379"/>
      <c r="D2374" s="379"/>
      <c r="E2374" s="377"/>
      <c r="F2374" s="377"/>
      <c r="G2374" s="377"/>
    </row>
    <row r="2375" spans="1:7" customFormat="1" ht="15" x14ac:dyDescent="0.25">
      <c r="A2375" s="381" t="s">
        <v>62</v>
      </c>
      <c r="B2375" s="382" t="s">
        <v>63</v>
      </c>
      <c r="C2375" s="379"/>
      <c r="D2375" s="379"/>
      <c r="E2375" s="381"/>
      <c r="F2375" s="381"/>
      <c r="G2375" s="381"/>
    </row>
    <row r="2376" spans="1:7" customFormat="1" ht="15" x14ac:dyDescent="0.25">
      <c r="A2376" s="385"/>
      <c r="B2376" s="386"/>
      <c r="C2376" s="387"/>
      <c r="D2376" s="387"/>
      <c r="E2376" s="385"/>
      <c r="F2376" s="385"/>
      <c r="G2376" s="385"/>
    </row>
    <row r="2377" spans="1:7" customFormat="1" ht="24" x14ac:dyDescent="0.25">
      <c r="A2377" s="388" t="s">
        <v>30</v>
      </c>
      <c r="B2377" s="388" t="s">
        <v>11</v>
      </c>
      <c r="C2377" s="1787" t="s">
        <v>12</v>
      </c>
      <c r="D2377" s="1788"/>
      <c r="E2377" s="152" t="s">
        <v>13</v>
      </c>
      <c r="F2377" s="389" t="s">
        <v>14</v>
      </c>
      <c r="G2377" s="390" t="s">
        <v>266</v>
      </c>
    </row>
    <row r="2378" spans="1:7" customFormat="1" ht="15" x14ac:dyDescent="0.25">
      <c r="A2378" s="197">
        <v>1</v>
      </c>
      <c r="B2378" s="198">
        <v>2</v>
      </c>
      <c r="C2378" s="1773">
        <v>3</v>
      </c>
      <c r="D2378" s="1774"/>
      <c r="E2378" s="2">
        <v>4</v>
      </c>
      <c r="F2378" s="205">
        <v>5</v>
      </c>
      <c r="G2378" s="202">
        <v>7</v>
      </c>
    </row>
    <row r="2379" spans="1:7" customFormat="1" ht="15" x14ac:dyDescent="0.25">
      <c r="A2379" s="391" t="s">
        <v>2244</v>
      </c>
      <c r="B2379" s="153" t="s">
        <v>1505</v>
      </c>
      <c r="C2379" s="154"/>
      <c r="D2379" s="155"/>
      <c r="E2379" s="156"/>
      <c r="F2379" s="157"/>
      <c r="G2379" s="202"/>
    </row>
    <row r="2380" spans="1:7" customFormat="1" ht="15" x14ac:dyDescent="0.25">
      <c r="A2380" s="391" t="s">
        <v>2245</v>
      </c>
      <c r="B2380" s="153" t="s">
        <v>2246</v>
      </c>
      <c r="C2380" s="154"/>
      <c r="D2380" s="155"/>
      <c r="E2380" s="156"/>
      <c r="F2380" s="157"/>
      <c r="G2380" s="202"/>
    </row>
    <row r="2381" spans="1:7" customFormat="1" ht="24" x14ac:dyDescent="0.25">
      <c r="A2381" s="391" t="s">
        <v>2247</v>
      </c>
      <c r="B2381" s="153" t="s">
        <v>1499</v>
      </c>
      <c r="C2381" s="392"/>
      <c r="D2381" s="155"/>
      <c r="E2381" s="156"/>
      <c r="F2381" s="157"/>
      <c r="G2381" s="202"/>
    </row>
    <row r="2382" spans="1:7" customFormat="1" ht="15.75" thickBot="1" x14ac:dyDescent="0.3">
      <c r="A2382" s="257"/>
      <c r="B2382" s="158" t="s">
        <v>2248</v>
      </c>
      <c r="C2382" s="392">
        <v>1</v>
      </c>
      <c r="D2382" s="155" t="s">
        <v>222</v>
      </c>
      <c r="E2382" s="156">
        <v>298580</v>
      </c>
      <c r="F2382" s="157">
        <f>E2382*C2382</f>
        <v>298580</v>
      </c>
      <c r="G2382" s="202"/>
    </row>
    <row r="2383" spans="1:7" customFormat="1" ht="15.75" thickBot="1" x14ac:dyDescent="0.3">
      <c r="A2383" s="207"/>
      <c r="B2383" s="1781" t="s">
        <v>548</v>
      </c>
      <c r="C2383" s="1782"/>
      <c r="D2383" s="1782"/>
      <c r="E2383" s="1783"/>
      <c r="F2383" s="163">
        <f>SUM(F2382:F2382)</f>
        <v>298580</v>
      </c>
      <c r="G2383" s="202"/>
    </row>
    <row r="2384" spans="1:7" customFormat="1" ht="15" x14ac:dyDescent="0.25">
      <c r="A2384" s="391" t="s">
        <v>2249</v>
      </c>
      <c r="B2384" s="394" t="s">
        <v>1488</v>
      </c>
      <c r="C2384" s="210"/>
      <c r="D2384" s="211"/>
      <c r="E2384" s="207"/>
      <c r="F2384" s="164"/>
      <c r="G2384" s="202"/>
    </row>
    <row r="2385" spans="1:21" customFormat="1" ht="15.75" thickBot="1" x14ac:dyDescent="0.3">
      <c r="A2385" s="597"/>
      <c r="B2385" s="396" t="s">
        <v>1490</v>
      </c>
      <c r="C2385" s="397">
        <v>10</v>
      </c>
      <c r="D2385" s="236" t="s">
        <v>419</v>
      </c>
      <c r="E2385" s="174">
        <v>130000</v>
      </c>
      <c r="F2385" s="162">
        <f>E2385*C2385</f>
        <v>1300000</v>
      </c>
      <c r="G2385" s="202"/>
    </row>
    <row r="2386" spans="1:21" customFormat="1" ht="15.75" thickBot="1" x14ac:dyDescent="0.3">
      <c r="A2386" s="398"/>
      <c r="B2386" s="1784" t="s">
        <v>548</v>
      </c>
      <c r="C2386" s="1785"/>
      <c r="D2386" s="1785"/>
      <c r="E2386" s="1786"/>
      <c r="F2386" s="163">
        <f>SUM(F2385:F2385)</f>
        <v>1300000</v>
      </c>
      <c r="G2386" s="399"/>
    </row>
    <row r="2387" spans="1:21" customFormat="1" ht="15" x14ac:dyDescent="0.25">
      <c r="A2387" s="391" t="s">
        <v>2251</v>
      </c>
      <c r="B2387" s="360" t="s">
        <v>1491</v>
      </c>
      <c r="C2387" s="210"/>
      <c r="D2387" s="211"/>
      <c r="E2387" s="207"/>
      <c r="F2387" s="164"/>
      <c r="G2387" s="202"/>
    </row>
    <row r="2388" spans="1:21" customFormat="1" ht="16.5" x14ac:dyDescent="0.25">
      <c r="A2388" s="400"/>
      <c r="B2388" s="179" t="s">
        <v>1501</v>
      </c>
      <c r="C2388" s="210">
        <v>5</v>
      </c>
      <c r="D2388" s="211" t="s">
        <v>843</v>
      </c>
      <c r="E2388" s="178">
        <v>380000</v>
      </c>
      <c r="F2388" s="164">
        <f>E2388*C2388</f>
        <v>1900000</v>
      </c>
      <c r="G2388" s="202"/>
    </row>
    <row r="2389" spans="1:21" customFormat="1" ht="17.25" thickBot="1" x14ac:dyDescent="0.3">
      <c r="A2389" s="612"/>
      <c r="B2389" s="613" t="s">
        <v>2318</v>
      </c>
      <c r="C2389" s="614">
        <v>39</v>
      </c>
      <c r="D2389" s="615" t="s">
        <v>843</v>
      </c>
      <c r="E2389" s="616">
        <v>150000</v>
      </c>
      <c r="F2389" s="182">
        <f>E2389*C2389</f>
        <v>5850000</v>
      </c>
      <c r="G2389" s="598"/>
    </row>
    <row r="2390" spans="1:21" customFormat="1" ht="15.75" thickBot="1" x14ac:dyDescent="0.3">
      <c r="A2390" s="391"/>
      <c r="B2390" s="1784" t="s">
        <v>548</v>
      </c>
      <c r="C2390" s="1785"/>
      <c r="D2390" s="1785"/>
      <c r="E2390" s="1785"/>
      <c r="F2390" s="608">
        <f>SUM(F2388:F2389)</f>
        <v>7750000</v>
      </c>
      <c r="G2390" s="399"/>
    </row>
    <row r="2391" spans="1:21" customFormat="1" ht="16.5" x14ac:dyDescent="0.25">
      <c r="A2391" s="391"/>
      <c r="B2391" s="617" t="s">
        <v>2319</v>
      </c>
      <c r="C2391" s="197"/>
      <c r="D2391" s="197"/>
      <c r="E2391" s="175"/>
      <c r="F2391" s="601"/>
      <c r="G2391" s="202"/>
    </row>
    <row r="2392" spans="1:21" customFormat="1" ht="17.25" thickBot="1" x14ac:dyDescent="0.3">
      <c r="A2392" s="391"/>
      <c r="B2392" s="604" t="s">
        <v>2262</v>
      </c>
      <c r="C2392" s="197">
        <v>3</v>
      </c>
      <c r="D2392" s="197" t="s">
        <v>222</v>
      </c>
      <c r="E2392" s="175">
        <v>500000</v>
      </c>
      <c r="F2392" s="161">
        <f>E2392*C2392</f>
        <v>1500000</v>
      </c>
      <c r="G2392" s="202"/>
    </row>
    <row r="2393" spans="1:21" customFormat="1" ht="15.75" thickBot="1" x14ac:dyDescent="0.3">
      <c r="A2393" s="391"/>
      <c r="B2393" s="1784" t="s">
        <v>548</v>
      </c>
      <c r="C2393" s="1785"/>
      <c r="D2393" s="1785"/>
      <c r="E2393" s="1785"/>
      <c r="F2393" s="608">
        <f>SUM(F2392)</f>
        <v>1500000</v>
      </c>
      <c r="G2393" s="399"/>
    </row>
    <row r="2394" spans="1:21" customFormat="1" ht="15.75" thickBot="1" x14ac:dyDescent="0.3">
      <c r="A2394" s="210"/>
      <c r="B2394" s="1964"/>
      <c r="C2394" s="1965"/>
      <c r="D2394" s="1965"/>
      <c r="E2394" s="1966"/>
      <c r="F2394" s="176"/>
      <c r="G2394" s="600"/>
    </row>
    <row r="2395" spans="1:21" customFormat="1" ht="30.75" thickBot="1" x14ac:dyDescent="0.3">
      <c r="A2395" s="210"/>
      <c r="B2395" s="1781" t="s">
        <v>26</v>
      </c>
      <c r="C2395" s="1782"/>
      <c r="D2395" s="1782"/>
      <c r="E2395" s="1783"/>
      <c r="F2395" s="163">
        <f>F2393+F2390+F2386+F2383</f>
        <v>10848580</v>
      </c>
      <c r="G2395" s="5" t="s">
        <v>2571</v>
      </c>
      <c r="L2395" s="172"/>
      <c r="U2395" s="172">
        <f>F2395</f>
        <v>10848580</v>
      </c>
    </row>
    <row r="2396" spans="1:21" x14ac:dyDescent="0.2">
      <c r="A2396" s="1762" t="s">
        <v>549</v>
      </c>
      <c r="B2396" s="1762"/>
      <c r="C2396" s="188" t="s">
        <v>27</v>
      </c>
      <c r="D2396" s="1763" t="s">
        <v>1429</v>
      </c>
      <c r="E2396" s="1763"/>
      <c r="F2396" s="1763"/>
      <c r="G2396" s="188"/>
    </row>
    <row r="2397" spans="1:21" x14ac:dyDescent="0.2">
      <c r="A2397" s="1762" t="s">
        <v>28</v>
      </c>
      <c r="B2397" s="1762"/>
      <c r="C2397" s="188"/>
      <c r="D2397" s="1764" t="s">
        <v>2833</v>
      </c>
      <c r="E2397" s="1764"/>
      <c r="F2397" s="1764"/>
      <c r="G2397" s="188"/>
    </row>
    <row r="2398" spans="1:21" x14ac:dyDescent="0.2">
      <c r="A2398" s="186"/>
      <c r="B2398" s="187"/>
      <c r="C2398" s="188"/>
      <c r="D2398" s="189"/>
      <c r="E2398" s="218"/>
      <c r="F2398" s="218"/>
      <c r="G2398" s="188"/>
    </row>
    <row r="2399" spans="1:21" x14ac:dyDescent="0.2">
      <c r="A2399" s="186"/>
      <c r="B2399" s="187"/>
      <c r="C2399" s="188"/>
      <c r="D2399" s="189"/>
      <c r="E2399" s="218"/>
      <c r="F2399" s="218"/>
      <c r="G2399" s="188"/>
    </row>
    <row r="2400" spans="1:21" x14ac:dyDescent="0.2">
      <c r="A2400" s="1762"/>
      <c r="B2400" s="1762"/>
      <c r="C2400" s="188"/>
      <c r="D2400" s="189"/>
      <c r="E2400" s="1762"/>
      <c r="F2400" s="1762"/>
      <c r="G2400" s="188"/>
    </row>
    <row r="2401" spans="1:7" x14ac:dyDescent="0.2">
      <c r="A2401" s="1762" t="s">
        <v>29</v>
      </c>
      <c r="B2401" s="1762"/>
      <c r="C2401" s="188"/>
      <c r="D2401" s="1762" t="s">
        <v>2954</v>
      </c>
      <c r="E2401" s="1762"/>
      <c r="F2401" s="1762"/>
      <c r="G2401" s="188"/>
    </row>
    <row r="2402" spans="1:7" customFormat="1" ht="15" x14ac:dyDescent="0.25"/>
    <row r="2403" spans="1:7" customFormat="1" ht="15" x14ac:dyDescent="0.25"/>
    <row r="2404" spans="1:7" customFormat="1" ht="15" x14ac:dyDescent="0.25"/>
    <row r="2405" spans="1:7" customFormat="1" ht="15" x14ac:dyDescent="0.25"/>
    <row r="2406" spans="1:7" customFormat="1" ht="15" x14ac:dyDescent="0.25"/>
    <row r="2407" spans="1:7" customFormat="1" ht="15" x14ac:dyDescent="0.25"/>
    <row r="2408" spans="1:7" customFormat="1" ht="15" x14ac:dyDescent="0.25"/>
    <row r="2409" spans="1:7" customFormat="1" ht="15" x14ac:dyDescent="0.25"/>
    <row r="2410" spans="1:7" customFormat="1" ht="15" x14ac:dyDescent="0.25"/>
    <row r="2411" spans="1:7" customFormat="1" ht="15" x14ac:dyDescent="0.25"/>
    <row r="2412" spans="1:7" customFormat="1" ht="15" x14ac:dyDescent="0.25">
      <c r="A2412" s="1796" t="s">
        <v>995</v>
      </c>
      <c r="B2412" s="1796"/>
      <c r="C2412" s="1796"/>
      <c r="D2412" s="1796"/>
      <c r="E2412" s="1796"/>
      <c r="F2412" s="1796"/>
      <c r="G2412" s="1796"/>
    </row>
    <row r="2413" spans="1:7" customFormat="1" ht="15" x14ac:dyDescent="0.25">
      <c r="A2413" s="1796" t="s">
        <v>1</v>
      </c>
      <c r="B2413" s="1796"/>
      <c r="C2413" s="1796"/>
      <c r="D2413" s="1796"/>
      <c r="E2413" s="1796"/>
      <c r="F2413" s="1796"/>
      <c r="G2413" s="1796"/>
    </row>
    <row r="2414" spans="1:7" customFormat="1" ht="15" x14ac:dyDescent="0.25">
      <c r="A2414" s="1796" t="s">
        <v>1425</v>
      </c>
      <c r="B2414" s="1796"/>
      <c r="C2414" s="1796"/>
      <c r="D2414" s="1796"/>
      <c r="E2414" s="1796"/>
      <c r="F2414" s="1796"/>
      <c r="G2414" s="1796"/>
    </row>
    <row r="2415" spans="1:7" customFormat="1" ht="15" x14ac:dyDescent="0.25">
      <c r="A2415" s="374"/>
      <c r="B2415" s="375"/>
      <c r="C2415" s="376"/>
      <c r="D2415" s="376"/>
      <c r="E2415" s="377"/>
      <c r="F2415" s="377"/>
      <c r="G2415" s="377"/>
    </row>
    <row r="2416" spans="1:7" customFormat="1" ht="15" x14ac:dyDescent="0.25">
      <c r="A2416" s="377" t="s">
        <v>1483</v>
      </c>
      <c r="B2416" s="378"/>
      <c r="C2416" s="379"/>
      <c r="D2416" s="379"/>
      <c r="E2416" s="380"/>
      <c r="F2416" s="380"/>
      <c r="G2416" s="377"/>
    </row>
    <row r="2417" spans="1:7" customFormat="1" ht="24.75" x14ac:dyDescent="0.25">
      <c r="A2417" s="381" t="s">
        <v>712</v>
      </c>
      <c r="B2417" s="382" t="s">
        <v>1504</v>
      </c>
      <c r="C2417" s="379"/>
      <c r="D2417" s="379"/>
      <c r="E2417" s="380" t="s">
        <v>1484</v>
      </c>
      <c r="F2417" s="380"/>
      <c r="G2417" s="377"/>
    </row>
    <row r="2418" spans="1:7" customFormat="1" ht="75" x14ac:dyDescent="0.25">
      <c r="A2418" s="383" t="s">
        <v>749</v>
      </c>
      <c r="B2418" s="384" t="s">
        <v>2474</v>
      </c>
      <c r="C2418" s="379"/>
      <c r="D2418" s="379"/>
      <c r="E2418" s="380" t="s">
        <v>1485</v>
      </c>
      <c r="F2418" s="380"/>
      <c r="G2418" s="381"/>
    </row>
    <row r="2419" spans="1:7" customFormat="1" ht="15" x14ac:dyDescent="0.25">
      <c r="A2419" s="383" t="s">
        <v>1486</v>
      </c>
      <c r="B2419" s="384" t="s">
        <v>2320</v>
      </c>
      <c r="C2419" s="379"/>
      <c r="D2419" s="379"/>
      <c r="E2419" s="380"/>
      <c r="F2419" s="380"/>
      <c r="G2419" s="381"/>
    </row>
    <row r="2420" spans="1:7" customFormat="1" ht="15" x14ac:dyDescent="0.25">
      <c r="A2420" s="377" t="s">
        <v>1487</v>
      </c>
      <c r="B2420" s="378" t="s">
        <v>61</v>
      </c>
      <c r="C2420" s="379"/>
      <c r="D2420" s="379"/>
      <c r="E2420" s="377"/>
      <c r="F2420" s="377"/>
      <c r="G2420" s="377"/>
    </row>
    <row r="2421" spans="1:7" customFormat="1" ht="15" x14ac:dyDescent="0.25">
      <c r="A2421" s="381" t="s">
        <v>62</v>
      </c>
      <c r="B2421" s="382" t="s">
        <v>63</v>
      </c>
      <c r="C2421" s="379"/>
      <c r="D2421" s="379"/>
      <c r="E2421" s="381"/>
      <c r="F2421" s="381"/>
      <c r="G2421" s="381"/>
    </row>
    <row r="2422" spans="1:7" customFormat="1" ht="15" x14ac:dyDescent="0.25">
      <c r="A2422" s="385"/>
      <c r="B2422" s="386"/>
      <c r="C2422" s="387"/>
      <c r="D2422" s="387"/>
      <c r="E2422" s="385"/>
      <c r="F2422" s="385"/>
      <c r="G2422" s="385"/>
    </row>
    <row r="2423" spans="1:7" customFormat="1" ht="24" x14ac:dyDescent="0.25">
      <c r="A2423" s="388" t="s">
        <v>30</v>
      </c>
      <c r="B2423" s="388" t="s">
        <v>11</v>
      </c>
      <c r="C2423" s="1787" t="s">
        <v>12</v>
      </c>
      <c r="D2423" s="1788"/>
      <c r="E2423" s="152" t="s">
        <v>13</v>
      </c>
      <c r="F2423" s="389" t="s">
        <v>14</v>
      </c>
      <c r="G2423" s="390" t="s">
        <v>266</v>
      </c>
    </row>
    <row r="2424" spans="1:7" customFormat="1" ht="15" x14ac:dyDescent="0.25">
      <c r="A2424" s="197">
        <v>1</v>
      </c>
      <c r="B2424" s="198">
        <v>2</v>
      </c>
      <c r="C2424" s="1773">
        <v>3</v>
      </c>
      <c r="D2424" s="1774"/>
      <c r="E2424" s="2">
        <v>4</v>
      </c>
      <c r="F2424" s="205">
        <v>5</v>
      </c>
      <c r="G2424" s="202">
        <v>7</v>
      </c>
    </row>
    <row r="2425" spans="1:7" customFormat="1" ht="15" x14ac:dyDescent="0.25">
      <c r="A2425" s="391" t="s">
        <v>2244</v>
      </c>
      <c r="B2425" s="153" t="s">
        <v>1505</v>
      </c>
      <c r="C2425" s="154"/>
      <c r="D2425" s="155"/>
      <c r="E2425" s="156"/>
      <c r="F2425" s="157"/>
      <c r="G2425" s="202"/>
    </row>
    <row r="2426" spans="1:7" customFormat="1" ht="15" x14ac:dyDescent="0.25">
      <c r="A2426" s="391" t="s">
        <v>2245</v>
      </c>
      <c r="B2426" s="153" t="s">
        <v>2246</v>
      </c>
      <c r="C2426" s="154"/>
      <c r="D2426" s="155"/>
      <c r="E2426" s="156"/>
      <c r="F2426" s="157"/>
      <c r="G2426" s="202"/>
    </row>
    <row r="2427" spans="1:7" customFormat="1" ht="24" x14ac:dyDescent="0.25">
      <c r="A2427" s="391" t="s">
        <v>2247</v>
      </c>
      <c r="B2427" s="153" t="s">
        <v>1499</v>
      </c>
      <c r="C2427" s="392"/>
      <c r="D2427" s="155"/>
      <c r="E2427" s="156"/>
      <c r="F2427" s="157"/>
      <c r="G2427" s="202"/>
    </row>
    <row r="2428" spans="1:7" customFormat="1" ht="15.75" thickBot="1" x14ac:dyDescent="0.3">
      <c r="A2428" s="257"/>
      <c r="B2428" s="158" t="s">
        <v>2248</v>
      </c>
      <c r="C2428" s="392">
        <v>1</v>
      </c>
      <c r="D2428" s="155" t="s">
        <v>222</v>
      </c>
      <c r="E2428" s="156">
        <v>310960</v>
      </c>
      <c r="F2428" s="157">
        <f>E2428*C2428</f>
        <v>310960</v>
      </c>
      <c r="G2428" s="202"/>
    </row>
    <row r="2429" spans="1:7" customFormat="1" ht="15.75" thickBot="1" x14ac:dyDescent="0.3">
      <c r="A2429" s="207"/>
      <c r="B2429" s="1781" t="s">
        <v>548</v>
      </c>
      <c r="C2429" s="1782"/>
      <c r="D2429" s="1782"/>
      <c r="E2429" s="1783"/>
      <c r="F2429" s="163">
        <f>SUM(F2428:F2428)</f>
        <v>310960</v>
      </c>
      <c r="G2429" s="202"/>
    </row>
    <row r="2430" spans="1:7" customFormat="1" ht="15" x14ac:dyDescent="0.25">
      <c r="A2430" s="391" t="s">
        <v>2249</v>
      </c>
      <c r="B2430" s="394" t="s">
        <v>1488</v>
      </c>
      <c r="C2430" s="210"/>
      <c r="D2430" s="211"/>
      <c r="E2430" s="207"/>
      <c r="F2430" s="164"/>
      <c r="G2430" s="202"/>
    </row>
    <row r="2431" spans="1:7" customFormat="1" ht="15" x14ac:dyDescent="0.25">
      <c r="A2431" s="391"/>
      <c r="B2431" s="395" t="s">
        <v>1489</v>
      </c>
      <c r="C2431" s="205">
        <v>4</v>
      </c>
      <c r="D2431" s="206" t="s">
        <v>419</v>
      </c>
      <c r="E2431" s="175">
        <v>143000</v>
      </c>
      <c r="F2431" s="157">
        <f>E2431*C2431</f>
        <v>572000</v>
      </c>
      <c r="G2431" s="202"/>
    </row>
    <row r="2432" spans="1:7" customFormat="1" ht="15.75" thickBot="1" x14ac:dyDescent="0.3">
      <c r="A2432" s="597"/>
      <c r="B2432" s="396" t="s">
        <v>1490</v>
      </c>
      <c r="C2432" s="397">
        <v>8</v>
      </c>
      <c r="D2432" s="236" t="s">
        <v>419</v>
      </c>
      <c r="E2432" s="174">
        <v>130000</v>
      </c>
      <c r="F2432" s="162">
        <f>E2432*C2432</f>
        <v>1040000</v>
      </c>
      <c r="G2432" s="598"/>
    </row>
    <row r="2433" spans="1:12" customFormat="1" ht="15.75" thickBot="1" x14ac:dyDescent="0.3">
      <c r="A2433" s="398"/>
      <c r="B2433" s="1784" t="s">
        <v>548</v>
      </c>
      <c r="C2433" s="1785"/>
      <c r="D2433" s="1785"/>
      <c r="E2433" s="1786"/>
      <c r="F2433" s="163">
        <f>SUM(F2431:F2432)</f>
        <v>1612000</v>
      </c>
      <c r="G2433" s="600"/>
    </row>
    <row r="2434" spans="1:12" customFormat="1" ht="15" x14ac:dyDescent="0.25">
      <c r="A2434" s="391" t="s">
        <v>2251</v>
      </c>
      <c r="B2434" s="360" t="s">
        <v>1491</v>
      </c>
      <c r="C2434" s="210"/>
      <c r="D2434" s="211"/>
      <c r="E2434" s="207"/>
      <c r="F2434" s="164"/>
      <c r="G2434" s="202"/>
    </row>
    <row r="2435" spans="1:12" customFormat="1" ht="16.5" x14ac:dyDescent="0.25">
      <c r="A2435" s="400"/>
      <c r="B2435" s="179" t="s">
        <v>2253</v>
      </c>
      <c r="C2435" s="210">
        <v>2375</v>
      </c>
      <c r="D2435" s="211" t="s">
        <v>2265</v>
      </c>
      <c r="E2435" s="178">
        <v>3000</v>
      </c>
      <c r="F2435" s="164">
        <f>E2435*C2435</f>
        <v>7125000</v>
      </c>
      <c r="G2435" s="202"/>
    </row>
    <row r="2436" spans="1:12" customFormat="1" ht="16.5" x14ac:dyDescent="0.25">
      <c r="A2436" s="400"/>
      <c r="B2436" s="181" t="s">
        <v>2266</v>
      </c>
      <c r="C2436" s="210">
        <v>3.2</v>
      </c>
      <c r="D2436" s="211" t="s">
        <v>2314</v>
      </c>
      <c r="E2436" s="178">
        <v>325000</v>
      </c>
      <c r="F2436" s="164">
        <f>E2436*C2436</f>
        <v>1040000</v>
      </c>
      <c r="G2436" s="202"/>
    </row>
    <row r="2437" spans="1:12" customFormat="1" ht="16.5" x14ac:dyDescent="0.25">
      <c r="A2437" s="400"/>
      <c r="B2437" s="179" t="s">
        <v>2267</v>
      </c>
      <c r="C2437" s="210">
        <v>5</v>
      </c>
      <c r="D2437" s="211" t="s">
        <v>843</v>
      </c>
      <c r="E2437" s="178">
        <v>350000</v>
      </c>
      <c r="F2437" s="164">
        <f>E2437*C2437</f>
        <v>1750000</v>
      </c>
      <c r="G2437" s="202"/>
    </row>
    <row r="2438" spans="1:12" customFormat="1" ht="15.75" thickBot="1" x14ac:dyDescent="0.3">
      <c r="A2438" s="257"/>
      <c r="B2438" s="159"/>
      <c r="C2438" s="393"/>
      <c r="D2438" s="160"/>
      <c r="E2438" s="161"/>
      <c r="F2438" s="162"/>
      <c r="G2438" s="202"/>
    </row>
    <row r="2439" spans="1:12" customFormat="1" ht="15.75" thickBot="1" x14ac:dyDescent="0.3">
      <c r="A2439" s="210"/>
      <c r="B2439" s="1781" t="s">
        <v>548</v>
      </c>
      <c r="C2439" s="1782"/>
      <c r="D2439" s="1782"/>
      <c r="E2439" s="1783"/>
      <c r="F2439" s="163">
        <f>SUM(F2435:F2437)</f>
        <v>9915000</v>
      </c>
      <c r="G2439" s="399"/>
    </row>
    <row r="2440" spans="1:12" customFormat="1" ht="15.75" thickBot="1" x14ac:dyDescent="0.3">
      <c r="A2440" s="210"/>
      <c r="B2440" s="1781" t="s">
        <v>26</v>
      </c>
      <c r="C2440" s="1782"/>
      <c r="D2440" s="1782"/>
      <c r="E2440" s="1783"/>
      <c r="F2440" s="163">
        <f>F2439+F2433+F2429</f>
        <v>11837960</v>
      </c>
      <c r="G2440" s="399" t="s">
        <v>1845</v>
      </c>
      <c r="L2440" s="172">
        <f>F2440</f>
        <v>11837960</v>
      </c>
    </row>
    <row r="2441" spans="1:12" x14ac:dyDescent="0.2">
      <c r="A2441" s="1762" t="s">
        <v>549</v>
      </c>
      <c r="B2441" s="1762"/>
      <c r="C2441" s="188" t="s">
        <v>27</v>
      </c>
      <c r="D2441" s="1763" t="s">
        <v>1429</v>
      </c>
      <c r="E2441" s="1763"/>
      <c r="F2441" s="1763"/>
      <c r="G2441" s="188"/>
    </row>
    <row r="2442" spans="1:12" x14ac:dyDescent="0.2">
      <c r="A2442" s="1762" t="s">
        <v>28</v>
      </c>
      <c r="B2442" s="1762"/>
      <c r="C2442" s="188"/>
      <c r="D2442" s="1764" t="s">
        <v>2833</v>
      </c>
      <c r="E2442" s="1764"/>
      <c r="F2442" s="1764"/>
      <c r="G2442" s="188"/>
    </row>
    <row r="2443" spans="1:12" x14ac:dyDescent="0.2">
      <c r="A2443" s="186"/>
      <c r="B2443" s="187"/>
      <c r="C2443" s="188"/>
      <c r="D2443" s="189"/>
      <c r="E2443" s="218"/>
      <c r="F2443" s="218"/>
      <c r="G2443" s="188"/>
    </row>
    <row r="2444" spans="1:12" x14ac:dyDescent="0.2">
      <c r="A2444" s="186"/>
      <c r="B2444" s="187"/>
      <c r="C2444" s="188"/>
      <c r="D2444" s="189"/>
      <c r="E2444" s="218"/>
      <c r="F2444" s="218"/>
      <c r="G2444" s="188"/>
    </row>
    <row r="2445" spans="1:12" x14ac:dyDescent="0.2">
      <c r="A2445" s="1762"/>
      <c r="B2445" s="1762"/>
      <c r="C2445" s="188"/>
      <c r="D2445" s="189"/>
      <c r="E2445" s="1762"/>
      <c r="F2445" s="1762"/>
      <c r="G2445" s="188"/>
    </row>
    <row r="2446" spans="1:12" x14ac:dyDescent="0.2">
      <c r="A2446" s="1762" t="s">
        <v>29</v>
      </c>
      <c r="B2446" s="1762"/>
      <c r="C2446" s="188"/>
      <c r="D2446" s="1762" t="s">
        <v>2954</v>
      </c>
      <c r="E2446" s="1762"/>
      <c r="F2446" s="1762"/>
      <c r="G2446" s="188"/>
    </row>
    <row r="2447" spans="1:12" customFormat="1" ht="15" x14ac:dyDescent="0.25"/>
    <row r="2448" spans="1:12" customFormat="1" ht="15" x14ac:dyDescent="0.25"/>
    <row r="2449" spans="1:7" customFormat="1" ht="15" x14ac:dyDescent="0.25"/>
    <row r="2450" spans="1:7" customFormat="1" ht="15" x14ac:dyDescent="0.25"/>
    <row r="2451" spans="1:7" customFormat="1" ht="15" x14ac:dyDescent="0.25"/>
    <row r="2452" spans="1:7" customFormat="1" ht="15" x14ac:dyDescent="0.25"/>
    <row r="2453" spans="1:7" customFormat="1" ht="15" x14ac:dyDescent="0.25"/>
    <row r="2454" spans="1:7" customFormat="1" ht="15" x14ac:dyDescent="0.25"/>
    <row r="2455" spans="1:7" customFormat="1" ht="15" x14ac:dyDescent="0.25"/>
    <row r="2456" spans="1:7" customFormat="1" ht="15" x14ac:dyDescent="0.25"/>
    <row r="2457" spans="1:7" customFormat="1" ht="15" x14ac:dyDescent="0.25"/>
    <row r="2458" spans="1:7" customFormat="1" ht="15" x14ac:dyDescent="0.25"/>
    <row r="2459" spans="1:7" customFormat="1" ht="15" x14ac:dyDescent="0.25"/>
    <row r="2460" spans="1:7" customFormat="1" ht="15" x14ac:dyDescent="0.25">
      <c r="A2460" s="1796" t="s">
        <v>995</v>
      </c>
      <c r="B2460" s="1796"/>
      <c r="C2460" s="1796"/>
      <c r="D2460" s="1796"/>
      <c r="E2460" s="1796"/>
      <c r="F2460" s="1796"/>
      <c r="G2460" s="1796"/>
    </row>
    <row r="2461" spans="1:7" customFormat="1" ht="15" x14ac:dyDescent="0.25">
      <c r="A2461" s="1796" t="s">
        <v>1</v>
      </c>
      <c r="B2461" s="1796"/>
      <c r="C2461" s="1796"/>
      <c r="D2461" s="1796"/>
      <c r="E2461" s="1796"/>
      <c r="F2461" s="1796"/>
      <c r="G2461" s="1796"/>
    </row>
    <row r="2462" spans="1:7" customFormat="1" ht="15" x14ac:dyDescent="0.25">
      <c r="A2462" s="1796" t="s">
        <v>1425</v>
      </c>
      <c r="B2462" s="1796"/>
      <c r="C2462" s="1796"/>
      <c r="D2462" s="1796"/>
      <c r="E2462" s="1796"/>
      <c r="F2462" s="1796"/>
      <c r="G2462" s="1796"/>
    </row>
    <row r="2463" spans="1:7" customFormat="1" ht="15" x14ac:dyDescent="0.25">
      <c r="A2463" s="374"/>
      <c r="B2463" s="375"/>
      <c r="C2463" s="376"/>
      <c r="D2463" s="376"/>
      <c r="E2463" s="377"/>
      <c r="F2463" s="377"/>
      <c r="G2463" s="377"/>
    </row>
    <row r="2464" spans="1:7" customFormat="1" ht="15" x14ac:dyDescent="0.25">
      <c r="A2464" s="377" t="s">
        <v>1483</v>
      </c>
      <c r="B2464" s="378"/>
      <c r="C2464" s="379"/>
      <c r="D2464" s="379"/>
      <c r="E2464" s="380"/>
      <c r="F2464" s="380"/>
      <c r="G2464" s="377"/>
    </row>
    <row r="2465" spans="1:7" customFormat="1" ht="24.75" x14ac:dyDescent="0.25">
      <c r="A2465" s="381" t="s">
        <v>712</v>
      </c>
      <c r="B2465" s="382" t="s">
        <v>1504</v>
      </c>
      <c r="C2465" s="379"/>
      <c r="D2465" s="379"/>
      <c r="E2465" s="380" t="s">
        <v>1484</v>
      </c>
      <c r="F2465" s="380"/>
      <c r="G2465" s="377"/>
    </row>
    <row r="2466" spans="1:7" customFormat="1" ht="90" x14ac:dyDescent="0.25">
      <c r="A2466" s="383" t="s">
        <v>749</v>
      </c>
      <c r="B2466" s="384" t="s">
        <v>2475</v>
      </c>
      <c r="C2466" s="379"/>
      <c r="D2466" s="379"/>
      <c r="E2466" s="380" t="s">
        <v>1485</v>
      </c>
      <c r="F2466" s="380"/>
      <c r="G2466" s="381"/>
    </row>
    <row r="2467" spans="1:7" customFormat="1" ht="15" x14ac:dyDescent="0.25">
      <c r="A2467" s="383" t="s">
        <v>1486</v>
      </c>
      <c r="B2467" s="384" t="s">
        <v>2321</v>
      </c>
      <c r="C2467" s="379"/>
      <c r="D2467" s="379"/>
      <c r="E2467" s="380"/>
      <c r="F2467" s="380"/>
      <c r="G2467" s="381"/>
    </row>
    <row r="2468" spans="1:7" customFormat="1" ht="15" x14ac:dyDescent="0.25">
      <c r="A2468" s="377" t="s">
        <v>1487</v>
      </c>
      <c r="B2468" s="378" t="s">
        <v>61</v>
      </c>
      <c r="C2468" s="379"/>
      <c r="D2468" s="379"/>
      <c r="E2468" s="377"/>
      <c r="F2468" s="377"/>
      <c r="G2468" s="377"/>
    </row>
    <row r="2469" spans="1:7" customFormat="1" ht="15" x14ac:dyDescent="0.25">
      <c r="A2469" s="381" t="s">
        <v>62</v>
      </c>
      <c r="B2469" s="382" t="s">
        <v>63</v>
      </c>
      <c r="C2469" s="379"/>
      <c r="D2469" s="379"/>
      <c r="E2469" s="381"/>
      <c r="F2469" s="381"/>
      <c r="G2469" s="381"/>
    </row>
    <row r="2470" spans="1:7" customFormat="1" ht="15" x14ac:dyDescent="0.25">
      <c r="A2470" s="385"/>
      <c r="B2470" s="386"/>
      <c r="C2470" s="387"/>
      <c r="D2470" s="387"/>
      <c r="E2470" s="385"/>
      <c r="F2470" s="385"/>
      <c r="G2470" s="385"/>
    </row>
    <row r="2471" spans="1:7" customFormat="1" ht="24" x14ac:dyDescent="0.25">
      <c r="A2471" s="388" t="s">
        <v>30</v>
      </c>
      <c r="B2471" s="388" t="s">
        <v>11</v>
      </c>
      <c r="C2471" s="1787" t="s">
        <v>12</v>
      </c>
      <c r="D2471" s="1788"/>
      <c r="E2471" s="152" t="s">
        <v>13</v>
      </c>
      <c r="F2471" s="389" t="s">
        <v>14</v>
      </c>
      <c r="G2471" s="390" t="s">
        <v>266</v>
      </c>
    </row>
    <row r="2472" spans="1:7" customFormat="1" ht="15" x14ac:dyDescent="0.25">
      <c r="A2472" s="197">
        <v>1</v>
      </c>
      <c r="B2472" s="198">
        <v>2</v>
      </c>
      <c r="C2472" s="1773">
        <v>3</v>
      </c>
      <c r="D2472" s="1774"/>
      <c r="E2472" s="2">
        <v>4</v>
      </c>
      <c r="F2472" s="205">
        <v>5</v>
      </c>
      <c r="G2472" s="202">
        <v>7</v>
      </c>
    </row>
    <row r="2473" spans="1:7" customFormat="1" ht="15" x14ac:dyDescent="0.25">
      <c r="A2473" s="391" t="s">
        <v>2244</v>
      </c>
      <c r="B2473" s="153" t="s">
        <v>1505</v>
      </c>
      <c r="C2473" s="154"/>
      <c r="D2473" s="155"/>
      <c r="E2473" s="156"/>
      <c r="F2473" s="157"/>
      <c r="G2473" s="202"/>
    </row>
    <row r="2474" spans="1:7" customFormat="1" ht="15" x14ac:dyDescent="0.25">
      <c r="A2474" s="391" t="s">
        <v>2245</v>
      </c>
      <c r="B2474" s="153" t="s">
        <v>2246</v>
      </c>
      <c r="C2474" s="154"/>
      <c r="D2474" s="155"/>
      <c r="E2474" s="156"/>
      <c r="F2474" s="157"/>
      <c r="G2474" s="202"/>
    </row>
    <row r="2475" spans="1:7" customFormat="1" ht="24" x14ac:dyDescent="0.25">
      <c r="A2475" s="391" t="s">
        <v>2247</v>
      </c>
      <c r="B2475" s="153" t="s">
        <v>1499</v>
      </c>
      <c r="C2475" s="392"/>
      <c r="D2475" s="155"/>
      <c r="E2475" s="156"/>
      <c r="F2475" s="157"/>
      <c r="G2475" s="202"/>
    </row>
    <row r="2476" spans="1:7" customFormat="1" ht="15.75" thickBot="1" x14ac:dyDescent="0.3">
      <c r="A2476" s="257"/>
      <c r="B2476" s="158" t="s">
        <v>2248</v>
      </c>
      <c r="C2476" s="392">
        <v>1</v>
      </c>
      <c r="D2476" s="155" t="s">
        <v>222</v>
      </c>
      <c r="E2476" s="156">
        <v>181560</v>
      </c>
      <c r="F2476" s="157">
        <f>E2476*C2476</f>
        <v>181560</v>
      </c>
      <c r="G2476" s="202"/>
    </row>
    <row r="2477" spans="1:7" customFormat="1" ht="15.75" thickBot="1" x14ac:dyDescent="0.3">
      <c r="A2477" s="207"/>
      <c r="B2477" s="1781" t="s">
        <v>548</v>
      </c>
      <c r="C2477" s="1782"/>
      <c r="D2477" s="1782"/>
      <c r="E2477" s="1783"/>
      <c r="F2477" s="163">
        <f>SUM(F2476:F2476)</f>
        <v>181560</v>
      </c>
      <c r="G2477" s="202"/>
    </row>
    <row r="2478" spans="1:7" customFormat="1" ht="15" x14ac:dyDescent="0.25">
      <c r="A2478" s="391" t="s">
        <v>2249</v>
      </c>
      <c r="B2478" s="394" t="s">
        <v>1488</v>
      </c>
      <c r="C2478" s="210"/>
      <c r="D2478" s="211"/>
      <c r="E2478" s="207"/>
      <c r="F2478" s="164"/>
      <c r="G2478" s="202"/>
    </row>
    <row r="2479" spans="1:7" customFormat="1" ht="15" x14ac:dyDescent="0.25">
      <c r="A2479" s="391"/>
      <c r="B2479" s="395" t="s">
        <v>1489</v>
      </c>
      <c r="C2479" s="205">
        <v>1</v>
      </c>
      <c r="D2479" s="206" t="s">
        <v>419</v>
      </c>
      <c r="E2479" s="175">
        <v>150000</v>
      </c>
      <c r="F2479" s="157">
        <f>E2479*C2479</f>
        <v>150000</v>
      </c>
      <c r="G2479" s="202"/>
    </row>
    <row r="2480" spans="1:7" customFormat="1" ht="15.75" thickBot="1" x14ac:dyDescent="0.3">
      <c r="A2480" s="391"/>
      <c r="B2480" s="396" t="s">
        <v>1490</v>
      </c>
      <c r="C2480" s="397">
        <v>2</v>
      </c>
      <c r="D2480" s="236" t="s">
        <v>419</v>
      </c>
      <c r="E2480" s="174">
        <v>130000</v>
      </c>
      <c r="F2480" s="162">
        <f>E2480*C2480</f>
        <v>260000</v>
      </c>
      <c r="G2480" s="202"/>
    </row>
    <row r="2481" spans="1:12" customFormat="1" ht="15.75" thickBot="1" x14ac:dyDescent="0.3">
      <c r="A2481" s="398"/>
      <c r="B2481" s="1784" t="s">
        <v>548</v>
      </c>
      <c r="C2481" s="1785"/>
      <c r="D2481" s="1785"/>
      <c r="E2481" s="1786"/>
      <c r="F2481" s="163">
        <f>SUM(F2479:F2480)</f>
        <v>410000</v>
      </c>
      <c r="G2481" s="399"/>
    </row>
    <row r="2482" spans="1:12" customFormat="1" ht="15" x14ac:dyDescent="0.25">
      <c r="A2482" s="391" t="s">
        <v>2251</v>
      </c>
      <c r="B2482" s="360" t="s">
        <v>1491</v>
      </c>
      <c r="C2482" s="210"/>
      <c r="D2482" s="211"/>
      <c r="E2482" s="207"/>
      <c r="F2482" s="164"/>
      <c r="G2482" s="202"/>
    </row>
    <row r="2483" spans="1:12" customFormat="1" ht="16.5" x14ac:dyDescent="0.25">
      <c r="A2483" s="400"/>
      <c r="B2483" s="603" t="s">
        <v>2270</v>
      </c>
      <c r="C2483" s="210">
        <v>1</v>
      </c>
      <c r="D2483" s="211" t="s">
        <v>843</v>
      </c>
      <c r="E2483" s="178">
        <v>2350000</v>
      </c>
      <c r="F2483" s="164">
        <f>E2483*C2483</f>
        <v>2350000</v>
      </c>
      <c r="G2483" s="202"/>
    </row>
    <row r="2484" spans="1:12" customFormat="1" ht="16.5" x14ac:dyDescent="0.25">
      <c r="A2484" s="400"/>
      <c r="B2484" s="603" t="s">
        <v>2271</v>
      </c>
      <c r="C2484" s="210">
        <v>2</v>
      </c>
      <c r="D2484" s="211" t="s">
        <v>276</v>
      </c>
      <c r="E2484" s="178">
        <v>150000</v>
      </c>
      <c r="F2484" s="164">
        <f>E2484*C2484</f>
        <v>300000</v>
      </c>
      <c r="G2484" s="202"/>
    </row>
    <row r="2485" spans="1:12" customFormat="1" ht="16.5" x14ac:dyDescent="0.25">
      <c r="A2485" s="400"/>
      <c r="B2485" s="604" t="s">
        <v>2272</v>
      </c>
      <c r="C2485" s="210">
        <v>2.5</v>
      </c>
      <c r="D2485" s="211" t="s">
        <v>159</v>
      </c>
      <c r="E2485" s="178">
        <v>35000</v>
      </c>
      <c r="F2485" s="164">
        <f>E2485*C2485</f>
        <v>87500</v>
      </c>
      <c r="G2485" s="399"/>
    </row>
    <row r="2486" spans="1:12" customFormat="1" ht="16.5" x14ac:dyDescent="0.25">
      <c r="A2486" s="400"/>
      <c r="B2486" s="604" t="s">
        <v>2273</v>
      </c>
      <c r="C2486" s="210">
        <v>1</v>
      </c>
      <c r="D2486" s="211" t="s">
        <v>843</v>
      </c>
      <c r="E2486" s="178">
        <v>2350000</v>
      </c>
      <c r="F2486" s="164">
        <f>E2486*C2486</f>
        <v>2350000</v>
      </c>
      <c r="G2486" s="1"/>
    </row>
    <row r="2487" spans="1:12" customFormat="1" ht="17.25" thickBot="1" x14ac:dyDescent="0.3">
      <c r="A2487" s="400"/>
      <c r="B2487" s="603"/>
      <c r="C2487" s="210"/>
      <c r="D2487" s="211"/>
      <c r="E2487" s="178"/>
      <c r="F2487" s="164"/>
      <c r="G2487" s="1"/>
    </row>
    <row r="2488" spans="1:12" customFormat="1" ht="15.75" thickBot="1" x14ac:dyDescent="0.3">
      <c r="A2488" s="210"/>
      <c r="B2488" s="1781" t="s">
        <v>548</v>
      </c>
      <c r="C2488" s="1782"/>
      <c r="D2488" s="1782"/>
      <c r="E2488" s="1783"/>
      <c r="F2488" s="163">
        <f>SUM(F2483:F2486)</f>
        <v>5087500</v>
      </c>
      <c r="G2488" s="399"/>
    </row>
    <row r="2489" spans="1:12" customFormat="1" ht="15.75" thickBot="1" x14ac:dyDescent="0.3">
      <c r="A2489" s="210"/>
      <c r="B2489" s="1781" t="s">
        <v>26</v>
      </c>
      <c r="C2489" s="1782"/>
      <c r="D2489" s="1782"/>
      <c r="E2489" s="1783"/>
      <c r="F2489" s="163">
        <f>F2488+F2481+F2477</f>
        <v>5679060</v>
      </c>
      <c r="G2489" s="399" t="s">
        <v>1845</v>
      </c>
      <c r="L2489" s="172">
        <f>F2489</f>
        <v>5679060</v>
      </c>
    </row>
    <row r="2490" spans="1:12" x14ac:dyDescent="0.2">
      <c r="A2490" s="1762" t="s">
        <v>549</v>
      </c>
      <c r="B2490" s="1762"/>
      <c r="C2490" s="188" t="s">
        <v>27</v>
      </c>
      <c r="D2490" s="1763" t="s">
        <v>1429</v>
      </c>
      <c r="E2490" s="1763"/>
      <c r="F2490" s="1763"/>
      <c r="G2490" s="188"/>
    </row>
    <row r="2491" spans="1:12" x14ac:dyDescent="0.2">
      <c r="A2491" s="1762" t="s">
        <v>28</v>
      </c>
      <c r="B2491" s="1762"/>
      <c r="C2491" s="188"/>
      <c r="D2491" s="1764" t="s">
        <v>2833</v>
      </c>
      <c r="E2491" s="1764"/>
      <c r="F2491" s="1764"/>
      <c r="G2491" s="188"/>
    </row>
    <row r="2492" spans="1:12" x14ac:dyDescent="0.2">
      <c r="A2492" s="186"/>
      <c r="B2492" s="187"/>
      <c r="C2492" s="188"/>
      <c r="D2492" s="189"/>
      <c r="E2492" s="218"/>
      <c r="F2492" s="218"/>
      <c r="G2492" s="188"/>
    </row>
    <row r="2493" spans="1:12" x14ac:dyDescent="0.2">
      <c r="A2493" s="186"/>
      <c r="B2493" s="187"/>
      <c r="C2493" s="188"/>
      <c r="D2493" s="189"/>
      <c r="E2493" s="218"/>
      <c r="F2493" s="218"/>
      <c r="G2493" s="188"/>
    </row>
    <row r="2494" spans="1:12" x14ac:dyDescent="0.2">
      <c r="A2494" s="1762"/>
      <c r="B2494" s="1762"/>
      <c r="C2494" s="188"/>
      <c r="D2494" s="189"/>
      <c r="E2494" s="1762"/>
      <c r="F2494" s="1762"/>
      <c r="G2494" s="188"/>
    </row>
    <row r="2495" spans="1:12" x14ac:dyDescent="0.2">
      <c r="A2495" s="1762" t="s">
        <v>29</v>
      </c>
      <c r="B2495" s="1762"/>
      <c r="C2495" s="188"/>
      <c r="D2495" s="1762" t="s">
        <v>2954</v>
      </c>
      <c r="E2495" s="1762"/>
      <c r="F2495" s="1762"/>
      <c r="G2495" s="188"/>
    </row>
    <row r="2496" spans="1:12" customFormat="1" ht="15" x14ac:dyDescent="0.25"/>
    <row r="2497" customFormat="1" ht="15" x14ac:dyDescent="0.25"/>
    <row r="2498" customFormat="1" ht="15" x14ac:dyDescent="0.25"/>
    <row r="2499" customFormat="1" ht="15" x14ac:dyDescent="0.25"/>
    <row r="2500" customFormat="1" ht="15" x14ac:dyDescent="0.25"/>
    <row r="2501" customFormat="1" ht="15" x14ac:dyDescent="0.25"/>
    <row r="2502" customFormat="1" ht="15" x14ac:dyDescent="0.25"/>
    <row r="2503" customFormat="1" ht="15" x14ac:dyDescent="0.25"/>
    <row r="2504" customFormat="1" ht="15" x14ac:dyDescent="0.25"/>
    <row r="2505" customFormat="1" ht="15" x14ac:dyDescent="0.25"/>
    <row r="2506" customFormat="1" ht="15" x14ac:dyDescent="0.25"/>
    <row r="2507" customFormat="1" ht="15" x14ac:dyDescent="0.25"/>
    <row r="2508" customFormat="1" ht="15" x14ac:dyDescent="0.25"/>
    <row r="2509" customFormat="1" ht="15" x14ac:dyDescent="0.25"/>
    <row r="2510" customFormat="1" ht="15" x14ac:dyDescent="0.25"/>
    <row r="2511" customFormat="1" ht="15" x14ac:dyDescent="0.25"/>
    <row r="2512" customFormat="1" ht="15" x14ac:dyDescent="0.25"/>
    <row r="2513" spans="1:7" customFormat="1" ht="15" x14ac:dyDescent="0.25">
      <c r="A2513" s="1796" t="s">
        <v>995</v>
      </c>
      <c r="B2513" s="1796"/>
      <c r="C2513" s="1796"/>
      <c r="D2513" s="1796"/>
      <c r="E2513" s="1796"/>
      <c r="F2513" s="1796"/>
      <c r="G2513" s="1796"/>
    </row>
    <row r="2514" spans="1:7" customFormat="1" ht="15" x14ac:dyDescent="0.25">
      <c r="A2514" s="1796" t="s">
        <v>1</v>
      </c>
      <c r="B2514" s="1796"/>
      <c r="C2514" s="1796"/>
      <c r="D2514" s="1796"/>
      <c r="E2514" s="1796"/>
      <c r="F2514" s="1796"/>
      <c r="G2514" s="1796"/>
    </row>
    <row r="2515" spans="1:7" customFormat="1" ht="15" x14ac:dyDescent="0.25">
      <c r="A2515" s="1796" t="s">
        <v>1769</v>
      </c>
      <c r="B2515" s="1796"/>
      <c r="C2515" s="1796"/>
      <c r="D2515" s="1796"/>
      <c r="E2515" s="1796"/>
      <c r="F2515" s="1796"/>
      <c r="G2515" s="1796"/>
    </row>
    <row r="2516" spans="1:7" customFormat="1" ht="15" x14ac:dyDescent="0.25">
      <c r="A2516" s="374"/>
      <c r="B2516" s="375"/>
      <c r="C2516" s="376"/>
      <c r="D2516" s="376"/>
      <c r="E2516" s="377"/>
      <c r="F2516" s="377"/>
      <c r="G2516" s="377"/>
    </row>
    <row r="2517" spans="1:7" customFormat="1" ht="15" x14ac:dyDescent="0.25">
      <c r="A2517" s="377" t="s">
        <v>1483</v>
      </c>
      <c r="B2517" s="378"/>
      <c r="C2517" s="379"/>
      <c r="D2517" s="379"/>
      <c r="E2517" s="380"/>
      <c r="F2517" s="380"/>
      <c r="G2517" s="377"/>
    </row>
    <row r="2518" spans="1:7" customFormat="1" ht="24.75" x14ac:dyDescent="0.25">
      <c r="A2518" s="381" t="s">
        <v>712</v>
      </c>
      <c r="B2518" s="382" t="s">
        <v>1504</v>
      </c>
      <c r="C2518" s="379"/>
      <c r="D2518" s="379"/>
      <c r="E2518" s="380" t="s">
        <v>1484</v>
      </c>
      <c r="F2518" s="380"/>
      <c r="G2518" s="377"/>
    </row>
    <row r="2519" spans="1:7" customFormat="1" ht="90" x14ac:dyDescent="0.25">
      <c r="A2519" s="383" t="s">
        <v>749</v>
      </c>
      <c r="B2519" s="384" t="s">
        <v>2476</v>
      </c>
      <c r="C2519" s="379"/>
      <c r="D2519" s="379"/>
      <c r="E2519" s="380" t="s">
        <v>1485</v>
      </c>
      <c r="F2519" s="380"/>
      <c r="G2519" s="381"/>
    </row>
    <row r="2520" spans="1:7" customFormat="1" ht="15" x14ac:dyDescent="0.25">
      <c r="A2520" s="383" t="s">
        <v>1486</v>
      </c>
      <c r="B2520" s="384" t="s">
        <v>2322</v>
      </c>
      <c r="C2520" s="379"/>
      <c r="D2520" s="379"/>
      <c r="E2520" s="380"/>
      <c r="F2520" s="380"/>
      <c r="G2520" s="381"/>
    </row>
    <row r="2521" spans="1:7" customFormat="1" ht="15" x14ac:dyDescent="0.25">
      <c r="A2521" s="377" t="s">
        <v>1487</v>
      </c>
      <c r="B2521" s="378" t="s">
        <v>61</v>
      </c>
      <c r="C2521" s="379"/>
      <c r="D2521" s="379"/>
      <c r="E2521" s="377"/>
      <c r="F2521" s="377"/>
      <c r="G2521" s="377"/>
    </row>
    <row r="2522" spans="1:7" customFormat="1" ht="15" x14ac:dyDescent="0.25">
      <c r="A2522" s="381" t="s">
        <v>62</v>
      </c>
      <c r="B2522" s="382" t="s">
        <v>63</v>
      </c>
      <c r="C2522" s="379"/>
      <c r="D2522" s="379"/>
      <c r="E2522" s="381"/>
      <c r="F2522" s="381"/>
      <c r="G2522" s="381"/>
    </row>
    <row r="2523" spans="1:7" customFormat="1" ht="15" x14ac:dyDescent="0.25">
      <c r="A2523" s="385"/>
      <c r="B2523" s="386"/>
      <c r="C2523" s="387"/>
      <c r="D2523" s="387"/>
      <c r="E2523" s="385"/>
      <c r="F2523" s="385"/>
      <c r="G2523" s="385"/>
    </row>
    <row r="2524" spans="1:7" customFormat="1" ht="24" x14ac:dyDescent="0.25">
      <c r="A2524" s="388" t="s">
        <v>30</v>
      </c>
      <c r="B2524" s="388" t="s">
        <v>11</v>
      </c>
      <c r="C2524" s="1787" t="s">
        <v>12</v>
      </c>
      <c r="D2524" s="1788"/>
      <c r="E2524" s="152" t="s">
        <v>13</v>
      </c>
      <c r="F2524" s="389" t="s">
        <v>14</v>
      </c>
      <c r="G2524" s="390" t="s">
        <v>266</v>
      </c>
    </row>
    <row r="2525" spans="1:7" customFormat="1" ht="15" x14ac:dyDescent="0.25">
      <c r="A2525" s="197">
        <v>1</v>
      </c>
      <c r="B2525" s="198">
        <v>2</v>
      </c>
      <c r="C2525" s="1773">
        <v>3</v>
      </c>
      <c r="D2525" s="1774"/>
      <c r="E2525" s="2">
        <v>4</v>
      </c>
      <c r="F2525" s="205">
        <v>5</v>
      </c>
      <c r="G2525" s="202">
        <v>7</v>
      </c>
    </row>
    <row r="2526" spans="1:7" customFormat="1" ht="15" x14ac:dyDescent="0.25">
      <c r="A2526" s="391" t="s">
        <v>2244</v>
      </c>
      <c r="B2526" s="153" t="s">
        <v>1505</v>
      </c>
      <c r="C2526" s="154"/>
      <c r="D2526" s="155"/>
      <c r="E2526" s="156"/>
      <c r="F2526" s="157"/>
      <c r="G2526" s="202"/>
    </row>
    <row r="2527" spans="1:7" customFormat="1" ht="15" x14ac:dyDescent="0.25">
      <c r="A2527" s="391" t="s">
        <v>2245</v>
      </c>
      <c r="B2527" s="153" t="s">
        <v>2246</v>
      </c>
      <c r="C2527" s="154"/>
      <c r="D2527" s="155"/>
      <c r="E2527" s="156"/>
      <c r="F2527" s="157"/>
      <c r="G2527" s="202"/>
    </row>
    <row r="2528" spans="1:7" customFormat="1" ht="24" x14ac:dyDescent="0.25">
      <c r="A2528" s="391" t="s">
        <v>2247</v>
      </c>
      <c r="B2528" s="153" t="s">
        <v>1499</v>
      </c>
      <c r="C2528" s="392"/>
      <c r="D2528" s="155"/>
      <c r="E2528" s="156"/>
      <c r="F2528" s="157"/>
      <c r="G2528" s="202"/>
    </row>
    <row r="2529" spans="1:12" customFormat="1" ht="15.75" thickBot="1" x14ac:dyDescent="0.3">
      <c r="A2529" s="257"/>
      <c r="B2529" s="158" t="s">
        <v>2248</v>
      </c>
      <c r="C2529" s="392">
        <v>1</v>
      </c>
      <c r="D2529" s="155" t="s">
        <v>222</v>
      </c>
      <c r="E2529" s="156">
        <v>16400</v>
      </c>
      <c r="F2529" s="157">
        <f>E2529*C2529</f>
        <v>16400</v>
      </c>
      <c r="G2529" s="202"/>
    </row>
    <row r="2530" spans="1:12" customFormat="1" ht="15.75" thickBot="1" x14ac:dyDescent="0.3">
      <c r="A2530" s="207"/>
      <c r="B2530" s="1781" t="s">
        <v>548</v>
      </c>
      <c r="C2530" s="1782"/>
      <c r="D2530" s="1782"/>
      <c r="E2530" s="1783"/>
      <c r="F2530" s="163">
        <f>SUM(F2529:F2529)</f>
        <v>16400</v>
      </c>
      <c r="G2530" s="202"/>
    </row>
    <row r="2531" spans="1:12" customFormat="1" ht="15" x14ac:dyDescent="0.25">
      <c r="A2531" s="391" t="s">
        <v>2249</v>
      </c>
      <c r="B2531" s="394" t="s">
        <v>1488</v>
      </c>
      <c r="C2531" s="210"/>
      <c r="D2531" s="211"/>
      <c r="E2531" s="207"/>
      <c r="F2531" s="164"/>
      <c r="G2531" s="202"/>
    </row>
    <row r="2532" spans="1:12" customFormat="1" ht="15" x14ac:dyDescent="0.25">
      <c r="A2532" s="391"/>
      <c r="B2532" s="395" t="s">
        <v>1489</v>
      </c>
      <c r="C2532" s="205">
        <v>2</v>
      </c>
      <c r="D2532" s="206" t="s">
        <v>419</v>
      </c>
      <c r="E2532" s="175">
        <v>150000</v>
      </c>
      <c r="F2532" s="157">
        <f>E2532*C2532</f>
        <v>300000</v>
      </c>
      <c r="G2532" s="202"/>
    </row>
    <row r="2533" spans="1:12" customFormat="1" ht="15.75" thickBot="1" x14ac:dyDescent="0.3">
      <c r="A2533" s="391"/>
      <c r="B2533" s="396" t="s">
        <v>1490</v>
      </c>
      <c r="C2533" s="397">
        <v>4</v>
      </c>
      <c r="D2533" s="236" t="s">
        <v>419</v>
      </c>
      <c r="E2533" s="174">
        <v>130000</v>
      </c>
      <c r="F2533" s="162">
        <f>E2533*C2533</f>
        <v>520000</v>
      </c>
      <c r="G2533" s="202"/>
    </row>
    <row r="2534" spans="1:12" customFormat="1" ht="15.75" thickBot="1" x14ac:dyDescent="0.3">
      <c r="A2534" s="398"/>
      <c r="B2534" s="1784" t="s">
        <v>548</v>
      </c>
      <c r="C2534" s="1785"/>
      <c r="D2534" s="1785"/>
      <c r="E2534" s="1786"/>
      <c r="F2534" s="163">
        <f>SUM(F2532:F2533)</f>
        <v>820000</v>
      </c>
      <c r="G2534" s="399"/>
    </row>
    <row r="2535" spans="1:12" customFormat="1" ht="15" x14ac:dyDescent="0.25">
      <c r="A2535" s="391" t="s">
        <v>2251</v>
      </c>
      <c r="B2535" s="360" t="s">
        <v>1491</v>
      </c>
      <c r="C2535" s="210"/>
      <c r="D2535" s="211"/>
      <c r="E2535" s="207"/>
      <c r="F2535" s="164"/>
      <c r="G2535" s="202"/>
    </row>
    <row r="2536" spans="1:12" customFormat="1" ht="16.5" x14ac:dyDescent="0.25">
      <c r="A2536" s="400"/>
      <c r="B2536" s="179" t="s">
        <v>2270</v>
      </c>
      <c r="C2536" s="210">
        <v>1.5</v>
      </c>
      <c r="D2536" s="618" t="s">
        <v>843</v>
      </c>
      <c r="E2536" s="178">
        <v>2350000</v>
      </c>
      <c r="F2536" s="164">
        <f>E2536*C2536</f>
        <v>3525000</v>
      </c>
      <c r="G2536" s="202"/>
    </row>
    <row r="2537" spans="1:12" customFormat="1" ht="17.25" thickBot="1" x14ac:dyDescent="0.3">
      <c r="A2537" s="400"/>
      <c r="B2537" s="181" t="s">
        <v>2272</v>
      </c>
      <c r="C2537" s="210">
        <v>8</v>
      </c>
      <c r="D2537" s="618" t="s">
        <v>1494</v>
      </c>
      <c r="E2537" s="178">
        <v>35000</v>
      </c>
      <c r="F2537" s="164">
        <f>E2537*C2537</f>
        <v>280000</v>
      </c>
      <c r="G2537" s="202"/>
    </row>
    <row r="2538" spans="1:12" customFormat="1" ht="15.75" thickBot="1" x14ac:dyDescent="0.3">
      <c r="A2538" s="210"/>
      <c r="B2538" s="1781" t="s">
        <v>548</v>
      </c>
      <c r="C2538" s="1782"/>
      <c r="D2538" s="1782"/>
      <c r="E2538" s="1783"/>
      <c r="F2538" s="163">
        <f>SUM(F2536:F2537)</f>
        <v>3805000</v>
      </c>
      <c r="G2538" s="399"/>
    </row>
    <row r="2539" spans="1:12" customFormat="1" ht="15.75" thickBot="1" x14ac:dyDescent="0.3">
      <c r="A2539" s="210"/>
      <c r="B2539" s="1781" t="s">
        <v>26</v>
      </c>
      <c r="C2539" s="1782"/>
      <c r="D2539" s="1782"/>
      <c r="E2539" s="1783"/>
      <c r="F2539" s="163">
        <f>F2538+F2534+F2530</f>
        <v>4641400</v>
      </c>
      <c r="G2539" s="399" t="s">
        <v>1845</v>
      </c>
      <c r="L2539" s="172">
        <f>F2539</f>
        <v>4641400</v>
      </c>
    </row>
    <row r="2540" spans="1:12" x14ac:dyDescent="0.2">
      <c r="A2540" s="1762" t="s">
        <v>549</v>
      </c>
      <c r="B2540" s="1762"/>
      <c r="C2540" s="188" t="s">
        <v>27</v>
      </c>
      <c r="D2540" s="1763" t="s">
        <v>1429</v>
      </c>
      <c r="E2540" s="1763"/>
      <c r="F2540" s="1763"/>
      <c r="G2540" s="188"/>
    </row>
    <row r="2541" spans="1:12" x14ac:dyDescent="0.2">
      <c r="A2541" s="1762" t="s">
        <v>28</v>
      </c>
      <c r="B2541" s="1762"/>
      <c r="C2541" s="188"/>
      <c r="D2541" s="1764" t="s">
        <v>2833</v>
      </c>
      <c r="E2541" s="1764"/>
      <c r="F2541" s="1764"/>
      <c r="G2541" s="188"/>
    </row>
    <row r="2542" spans="1:12" x14ac:dyDescent="0.2">
      <c r="A2542" s="186"/>
      <c r="B2542" s="187"/>
      <c r="C2542" s="188"/>
      <c r="D2542" s="189"/>
      <c r="E2542" s="218"/>
      <c r="F2542" s="218"/>
      <c r="G2542" s="188"/>
    </row>
    <row r="2543" spans="1:12" x14ac:dyDescent="0.2">
      <c r="A2543" s="186"/>
      <c r="B2543" s="187"/>
      <c r="C2543" s="188"/>
      <c r="D2543" s="189"/>
      <c r="E2543" s="218"/>
      <c r="F2543" s="218"/>
      <c r="G2543" s="188"/>
    </row>
    <row r="2544" spans="1:12" x14ac:dyDescent="0.2">
      <c r="A2544" s="1762"/>
      <c r="B2544" s="1762"/>
      <c r="C2544" s="188"/>
      <c r="D2544" s="189"/>
      <c r="E2544" s="1762"/>
      <c r="F2544" s="1762"/>
      <c r="G2544" s="188"/>
    </row>
    <row r="2545" spans="1:7" x14ac:dyDescent="0.2">
      <c r="A2545" s="1762" t="s">
        <v>29</v>
      </c>
      <c r="B2545" s="1762"/>
      <c r="C2545" s="188"/>
      <c r="D2545" s="1762" t="s">
        <v>2954</v>
      </c>
      <c r="E2545" s="1762"/>
      <c r="F2545" s="1762"/>
      <c r="G2545" s="188"/>
    </row>
    <row r="2546" spans="1:7" customFormat="1" ht="15" x14ac:dyDescent="0.25"/>
    <row r="2547" spans="1:7" customFormat="1" ht="15" x14ac:dyDescent="0.25">
      <c r="A2547" s="1852" t="s">
        <v>0</v>
      </c>
      <c r="B2547" s="1852"/>
      <c r="C2547" s="1852"/>
      <c r="D2547" s="1852"/>
      <c r="E2547" s="1852"/>
      <c r="F2547" s="1852"/>
      <c r="G2547" s="1852"/>
    </row>
    <row r="2548" spans="1:7" customFormat="1" ht="15" x14ac:dyDescent="0.25">
      <c r="A2548" s="1852" t="s">
        <v>1</v>
      </c>
      <c r="B2548" s="1852"/>
      <c r="C2548" s="1852"/>
      <c r="D2548" s="1852"/>
      <c r="E2548" s="1852"/>
      <c r="F2548" s="1852"/>
      <c r="G2548" s="1852"/>
    </row>
    <row r="2549" spans="1:7" customFormat="1" ht="15" x14ac:dyDescent="0.25">
      <c r="A2549" s="1852" t="s">
        <v>1769</v>
      </c>
      <c r="B2549" s="1852"/>
      <c r="C2549" s="1852"/>
      <c r="D2549" s="1852"/>
      <c r="E2549" s="1852"/>
      <c r="F2549" s="1852"/>
      <c r="G2549" s="1852"/>
    </row>
    <row r="2550" spans="1:7" customFormat="1" ht="15" x14ac:dyDescent="0.25">
      <c r="A2550" s="1307"/>
      <c r="B2550" s="1308"/>
      <c r="C2550" s="1309"/>
      <c r="D2550" s="1309"/>
      <c r="E2550" s="1310"/>
      <c r="F2550" s="1310"/>
      <c r="G2550" s="1310"/>
    </row>
    <row r="2551" spans="1:7" customFormat="1" ht="15" x14ac:dyDescent="0.25">
      <c r="A2551" s="1310" t="s">
        <v>1483</v>
      </c>
      <c r="B2551" s="1311"/>
      <c r="C2551" s="1312"/>
      <c r="D2551" s="1312"/>
      <c r="E2551" s="1313"/>
      <c r="F2551" s="1313"/>
      <c r="G2551" s="1310"/>
    </row>
    <row r="2552" spans="1:7" customFormat="1" ht="24.75" x14ac:dyDescent="0.25">
      <c r="A2552" s="1314" t="s">
        <v>712</v>
      </c>
      <c r="B2552" s="1315" t="s">
        <v>1504</v>
      </c>
      <c r="C2552" s="1312"/>
      <c r="D2552" s="1312"/>
      <c r="E2552" s="1313" t="s">
        <v>1484</v>
      </c>
      <c r="F2552" s="1313"/>
      <c r="G2552" s="1310"/>
    </row>
    <row r="2553" spans="1:7" customFormat="1" ht="75" x14ac:dyDescent="0.25">
      <c r="A2553" s="1316" t="s">
        <v>749</v>
      </c>
      <c r="B2553" s="1317" t="s">
        <v>2493</v>
      </c>
      <c r="C2553" s="1312"/>
      <c r="D2553" s="1312"/>
      <c r="E2553" s="1313" t="s">
        <v>1485</v>
      </c>
      <c r="F2553" s="1313"/>
      <c r="G2553" s="1314"/>
    </row>
    <row r="2554" spans="1:7" customFormat="1" ht="30" x14ac:dyDescent="0.25">
      <c r="A2554" s="1316" t="s">
        <v>1486</v>
      </c>
      <c r="B2554" s="1317" t="s">
        <v>2477</v>
      </c>
      <c r="C2554" s="1312"/>
      <c r="D2554" s="1312"/>
      <c r="E2554" s="1313"/>
      <c r="F2554" s="1313"/>
      <c r="G2554" s="1314"/>
    </row>
    <row r="2555" spans="1:7" customFormat="1" ht="15" x14ac:dyDescent="0.25">
      <c r="A2555" s="1310" t="s">
        <v>1487</v>
      </c>
      <c r="B2555" s="1311" t="s">
        <v>61</v>
      </c>
      <c r="C2555" s="1312"/>
      <c r="D2555" s="1312"/>
      <c r="E2555" s="1310"/>
      <c r="F2555" s="1310"/>
      <c r="G2555" s="1310"/>
    </row>
    <row r="2556" spans="1:7" customFormat="1" ht="15" x14ac:dyDescent="0.25">
      <c r="A2556" s="1314" t="s">
        <v>62</v>
      </c>
      <c r="B2556" s="1315" t="s">
        <v>63</v>
      </c>
      <c r="C2556" s="1312"/>
      <c r="D2556" s="1312"/>
      <c r="E2556" s="1314"/>
      <c r="F2556" s="1314"/>
      <c r="G2556" s="1314"/>
    </row>
    <row r="2557" spans="1:7" customFormat="1" ht="15" x14ac:dyDescent="0.25">
      <c r="A2557" s="1318"/>
      <c r="B2557" s="1319"/>
      <c r="C2557" s="1320"/>
      <c r="D2557" s="1320"/>
      <c r="E2557" s="1318"/>
      <c r="F2557" s="1318"/>
      <c r="G2557" s="1318"/>
    </row>
    <row r="2558" spans="1:7" customFormat="1" ht="24" x14ac:dyDescent="0.25">
      <c r="A2558" s="1321" t="s">
        <v>30</v>
      </c>
      <c r="B2558" s="1321" t="s">
        <v>11</v>
      </c>
      <c r="C2558" s="1855" t="s">
        <v>12</v>
      </c>
      <c r="D2558" s="1856"/>
      <c r="E2558" s="1323" t="s">
        <v>13</v>
      </c>
      <c r="F2558" s="1322" t="s">
        <v>14</v>
      </c>
      <c r="G2558" s="1324" t="s">
        <v>266</v>
      </c>
    </row>
    <row r="2559" spans="1:7" customFormat="1" ht="15" x14ac:dyDescent="0.25">
      <c r="A2559" s="1325">
        <v>1</v>
      </c>
      <c r="B2559" s="1326">
        <v>2</v>
      </c>
      <c r="C2559" s="1853">
        <v>3</v>
      </c>
      <c r="D2559" s="1854"/>
      <c r="E2559" s="1329">
        <v>4</v>
      </c>
      <c r="F2559" s="1327">
        <v>5</v>
      </c>
      <c r="G2559" s="1330">
        <v>7</v>
      </c>
    </row>
    <row r="2560" spans="1:7" customFormat="1" ht="15" x14ac:dyDescent="0.25">
      <c r="A2560" s="1331" t="s">
        <v>2288</v>
      </c>
      <c r="B2560" s="1332" t="s">
        <v>1505</v>
      </c>
      <c r="C2560" s="1333"/>
      <c r="D2560" s="1334"/>
      <c r="E2560" s="1335"/>
      <c r="F2560" s="1336"/>
      <c r="G2560" s="1330"/>
    </row>
    <row r="2561" spans="1:12" customFormat="1" ht="15" x14ac:dyDescent="0.25">
      <c r="A2561" s="1331" t="s">
        <v>2289</v>
      </c>
      <c r="B2561" s="1332" t="s">
        <v>2246</v>
      </c>
      <c r="C2561" s="1333"/>
      <c r="D2561" s="1334"/>
      <c r="E2561" s="1335"/>
      <c r="F2561" s="1336"/>
      <c r="G2561" s="1330"/>
    </row>
    <row r="2562" spans="1:12" customFormat="1" ht="24" x14ac:dyDescent="0.25">
      <c r="A2562" s="1331" t="s">
        <v>2290</v>
      </c>
      <c r="B2562" s="1332" t="s">
        <v>1499</v>
      </c>
      <c r="C2562" s="1337"/>
      <c r="D2562" s="1334"/>
      <c r="E2562" s="1335"/>
      <c r="F2562" s="1336"/>
      <c r="G2562" s="1330"/>
    </row>
    <row r="2563" spans="1:12" customFormat="1" ht="15.75" thickBot="1" x14ac:dyDescent="0.3">
      <c r="A2563" s="1338"/>
      <c r="B2563" s="1339" t="s">
        <v>2248</v>
      </c>
      <c r="C2563" s="1337">
        <v>1</v>
      </c>
      <c r="D2563" s="1334" t="s">
        <v>222</v>
      </c>
      <c r="E2563" s="1335">
        <v>83200</v>
      </c>
      <c r="F2563" s="1336">
        <f>E2563*C2563</f>
        <v>83200</v>
      </c>
      <c r="G2563" s="1330"/>
    </row>
    <row r="2564" spans="1:12" customFormat="1" ht="15.75" thickBot="1" x14ac:dyDescent="0.3">
      <c r="A2564" s="1340"/>
      <c r="B2564" s="1845" t="s">
        <v>548</v>
      </c>
      <c r="C2564" s="1846"/>
      <c r="D2564" s="1846"/>
      <c r="E2564" s="1847"/>
      <c r="F2564" s="1341">
        <f>SUM(F2563:F2563)</f>
        <v>83200</v>
      </c>
      <c r="G2564" s="1330"/>
    </row>
    <row r="2565" spans="1:12" customFormat="1" ht="15" x14ac:dyDescent="0.25">
      <c r="A2565" s="1331" t="s">
        <v>2291</v>
      </c>
      <c r="B2565" s="1342" t="s">
        <v>1488</v>
      </c>
      <c r="C2565" s="1343"/>
      <c r="D2565" s="1344"/>
      <c r="E2565" s="1340"/>
      <c r="F2565" s="1345"/>
      <c r="G2565" s="1330"/>
    </row>
    <row r="2566" spans="1:12" customFormat="1" ht="15.75" thickBot="1" x14ac:dyDescent="0.3">
      <c r="A2566" s="1331"/>
      <c r="B2566" s="1348" t="s">
        <v>1490</v>
      </c>
      <c r="C2566" s="1349">
        <v>32</v>
      </c>
      <c r="D2566" s="1350" t="s">
        <v>419</v>
      </c>
      <c r="E2566" s="1351">
        <v>130000</v>
      </c>
      <c r="F2566" s="1352">
        <f>E2566*C2566</f>
        <v>4160000</v>
      </c>
      <c r="G2566" s="1330"/>
    </row>
    <row r="2567" spans="1:12" customFormat="1" ht="15.75" thickBot="1" x14ac:dyDescent="0.3">
      <c r="A2567" s="1353"/>
      <c r="B2567" s="1842" t="s">
        <v>548</v>
      </c>
      <c r="C2567" s="1843"/>
      <c r="D2567" s="1843"/>
      <c r="E2567" s="1844"/>
      <c r="F2567" s="1341">
        <f>SUM(F2566:F2566)</f>
        <v>4160000</v>
      </c>
      <c r="G2567" s="1354"/>
    </row>
    <row r="2568" spans="1:12" customFormat="1" ht="15.75" thickBot="1" x14ac:dyDescent="0.3">
      <c r="A2568" s="1338"/>
      <c r="B2568" s="1359"/>
      <c r="C2568" s="1360"/>
      <c r="D2568" s="1361"/>
      <c r="E2568" s="1362"/>
      <c r="F2568" s="1352"/>
      <c r="G2568" s="1330"/>
    </row>
    <row r="2569" spans="1:12" customFormat="1" ht="15.75" thickBot="1" x14ac:dyDescent="0.3">
      <c r="A2569" s="1343"/>
      <c r="B2569" s="1845" t="s">
        <v>26</v>
      </c>
      <c r="C2569" s="1846"/>
      <c r="D2569" s="1846"/>
      <c r="E2569" s="1847"/>
      <c r="F2569" s="1341">
        <f>F2567+F2564</f>
        <v>4243200</v>
      </c>
      <c r="G2569" s="1354"/>
      <c r="L2569" s="172"/>
    </row>
    <row r="2570" spans="1:12" customFormat="1" ht="15" x14ac:dyDescent="0.25">
      <c r="A2570" s="116"/>
      <c r="B2570" s="116"/>
      <c r="C2570" s="116"/>
      <c r="D2570" s="116"/>
      <c r="E2570" s="116"/>
      <c r="F2570" s="116"/>
      <c r="G2570" s="116"/>
    </row>
    <row r="2571" spans="1:12" customFormat="1" ht="15" x14ac:dyDescent="0.25">
      <c r="A2571" s="1852" t="s">
        <v>0</v>
      </c>
      <c r="B2571" s="1852"/>
      <c r="C2571" s="1852"/>
      <c r="D2571" s="1852"/>
      <c r="E2571" s="1852"/>
      <c r="F2571" s="1852"/>
      <c r="G2571" s="1852"/>
    </row>
    <row r="2572" spans="1:12" customFormat="1" ht="15" x14ac:dyDescent="0.25">
      <c r="A2572" s="1852" t="s">
        <v>1</v>
      </c>
      <c r="B2572" s="1852"/>
      <c r="C2572" s="1852"/>
      <c r="D2572" s="1852"/>
      <c r="E2572" s="1852"/>
      <c r="F2572" s="1852"/>
      <c r="G2572" s="1852"/>
    </row>
    <row r="2573" spans="1:12" customFormat="1" ht="15" x14ac:dyDescent="0.25">
      <c r="A2573" s="1852" t="s">
        <v>1769</v>
      </c>
      <c r="B2573" s="1852"/>
      <c r="C2573" s="1852"/>
      <c r="D2573" s="1852"/>
      <c r="E2573" s="1852"/>
      <c r="F2573" s="1852"/>
      <c r="G2573" s="1852"/>
    </row>
    <row r="2574" spans="1:12" customFormat="1" ht="15" x14ac:dyDescent="0.25">
      <c r="A2574" s="1307"/>
      <c r="B2574" s="1308"/>
      <c r="C2574" s="1309"/>
      <c r="D2574" s="1309"/>
      <c r="E2574" s="1310"/>
      <c r="F2574" s="1310"/>
      <c r="G2574" s="1310"/>
    </row>
    <row r="2575" spans="1:12" customFormat="1" ht="15" x14ac:dyDescent="0.25">
      <c r="A2575" s="1310" t="s">
        <v>1483</v>
      </c>
      <c r="B2575" s="1311"/>
      <c r="C2575" s="1312"/>
      <c r="D2575" s="1312"/>
      <c r="E2575" s="1313"/>
      <c r="F2575" s="1313"/>
      <c r="G2575" s="1310"/>
    </row>
    <row r="2576" spans="1:12" customFormat="1" ht="24.75" x14ac:dyDescent="0.25">
      <c r="A2576" s="1314" t="s">
        <v>712</v>
      </c>
      <c r="B2576" s="1315" t="s">
        <v>1504</v>
      </c>
      <c r="C2576" s="1312"/>
      <c r="D2576" s="1312"/>
      <c r="E2576" s="1313" t="s">
        <v>1484</v>
      </c>
      <c r="F2576" s="1313"/>
      <c r="G2576" s="1310"/>
    </row>
    <row r="2577" spans="1:7" customFormat="1" ht="75" x14ac:dyDescent="0.25">
      <c r="A2577" s="1316" t="s">
        <v>749</v>
      </c>
      <c r="B2577" s="1317" t="s">
        <v>2494</v>
      </c>
      <c r="C2577" s="1312"/>
      <c r="D2577" s="1312"/>
      <c r="E2577" s="1313" t="s">
        <v>1485</v>
      </c>
      <c r="F2577" s="1313"/>
      <c r="G2577" s="1314"/>
    </row>
    <row r="2578" spans="1:7" customFormat="1" ht="30" x14ac:dyDescent="0.25">
      <c r="A2578" s="1316" t="s">
        <v>1486</v>
      </c>
      <c r="B2578" s="1317" t="s">
        <v>2478</v>
      </c>
      <c r="C2578" s="1312"/>
      <c r="D2578" s="1312"/>
      <c r="E2578" s="1313"/>
      <c r="F2578" s="1313"/>
      <c r="G2578" s="1314"/>
    </row>
    <row r="2579" spans="1:7" customFormat="1" ht="15" x14ac:dyDescent="0.25">
      <c r="A2579" s="1310" t="s">
        <v>1487</v>
      </c>
      <c r="B2579" s="1311" t="s">
        <v>61</v>
      </c>
      <c r="C2579" s="1312"/>
      <c r="D2579" s="1312"/>
      <c r="E2579" s="1310"/>
      <c r="F2579" s="1310"/>
      <c r="G2579" s="1310"/>
    </row>
    <row r="2580" spans="1:7" customFormat="1" ht="15" x14ac:dyDescent="0.25">
      <c r="A2580" s="1314" t="s">
        <v>62</v>
      </c>
      <c r="B2580" s="1315" t="s">
        <v>63</v>
      </c>
      <c r="C2580" s="1312"/>
      <c r="D2580" s="1312"/>
      <c r="E2580" s="1314"/>
      <c r="F2580" s="1314"/>
      <c r="G2580" s="1314"/>
    </row>
    <row r="2581" spans="1:7" customFormat="1" ht="15" x14ac:dyDescent="0.25">
      <c r="A2581" s="1318"/>
      <c r="B2581" s="1319"/>
      <c r="C2581" s="1320"/>
      <c r="D2581" s="1320"/>
      <c r="E2581" s="1318"/>
      <c r="F2581" s="1318"/>
      <c r="G2581" s="1318"/>
    </row>
    <row r="2582" spans="1:7" customFormat="1" ht="24" x14ac:dyDescent="0.25">
      <c r="A2582" s="1321" t="s">
        <v>30</v>
      </c>
      <c r="B2582" s="1321" t="s">
        <v>11</v>
      </c>
      <c r="C2582" s="1855" t="s">
        <v>12</v>
      </c>
      <c r="D2582" s="1856"/>
      <c r="E2582" s="1323" t="s">
        <v>13</v>
      </c>
      <c r="F2582" s="1322" t="s">
        <v>14</v>
      </c>
      <c r="G2582" s="1324" t="s">
        <v>266</v>
      </c>
    </row>
    <row r="2583" spans="1:7" customFormat="1" ht="15" x14ac:dyDescent="0.25">
      <c r="A2583" s="1325">
        <v>1</v>
      </c>
      <c r="B2583" s="1326">
        <v>2</v>
      </c>
      <c r="C2583" s="1853">
        <v>3</v>
      </c>
      <c r="D2583" s="1854"/>
      <c r="E2583" s="1329">
        <v>4</v>
      </c>
      <c r="F2583" s="1327">
        <v>5</v>
      </c>
      <c r="G2583" s="1330">
        <v>7</v>
      </c>
    </row>
    <row r="2584" spans="1:7" customFormat="1" ht="15" x14ac:dyDescent="0.25">
      <c r="A2584" s="1331" t="s">
        <v>2294</v>
      </c>
      <c r="B2584" s="1332" t="s">
        <v>1505</v>
      </c>
      <c r="C2584" s="1333"/>
      <c r="D2584" s="1334"/>
      <c r="E2584" s="1335"/>
      <c r="F2584" s="1336"/>
      <c r="G2584" s="1330"/>
    </row>
    <row r="2585" spans="1:7" customFormat="1" ht="15" x14ac:dyDescent="0.25">
      <c r="A2585" s="1331" t="s">
        <v>2295</v>
      </c>
      <c r="B2585" s="1332" t="s">
        <v>2246</v>
      </c>
      <c r="C2585" s="1333"/>
      <c r="D2585" s="1334"/>
      <c r="E2585" s="1335"/>
      <c r="F2585" s="1336"/>
      <c r="G2585" s="1330"/>
    </row>
    <row r="2586" spans="1:7" customFormat="1" ht="24" x14ac:dyDescent="0.25">
      <c r="A2586" s="1331" t="s">
        <v>2296</v>
      </c>
      <c r="B2586" s="1332" t="s">
        <v>1499</v>
      </c>
      <c r="C2586" s="1337"/>
      <c r="D2586" s="1334"/>
      <c r="E2586" s="1335"/>
      <c r="F2586" s="1336"/>
      <c r="G2586" s="1330"/>
    </row>
    <row r="2587" spans="1:7" customFormat="1" ht="15.75" thickBot="1" x14ac:dyDescent="0.3">
      <c r="A2587" s="1338"/>
      <c r="B2587" s="1339" t="s">
        <v>2248</v>
      </c>
      <c r="C2587" s="1337">
        <v>1</v>
      </c>
      <c r="D2587" s="1334" t="s">
        <v>222</v>
      </c>
      <c r="E2587" s="1335">
        <v>3944320</v>
      </c>
      <c r="F2587" s="1336">
        <f>E2587*C2587</f>
        <v>3944320</v>
      </c>
      <c r="G2587" s="1330"/>
    </row>
    <row r="2588" spans="1:7" customFormat="1" ht="15.75" thickBot="1" x14ac:dyDescent="0.3">
      <c r="A2588" s="1340"/>
      <c r="B2588" s="1845" t="s">
        <v>548</v>
      </c>
      <c r="C2588" s="1846"/>
      <c r="D2588" s="1846"/>
      <c r="E2588" s="1847"/>
      <c r="F2588" s="1341">
        <f>SUM(F2587:F2587)</f>
        <v>3944320</v>
      </c>
      <c r="G2588" s="1330"/>
    </row>
    <row r="2589" spans="1:7" customFormat="1" ht="15" x14ac:dyDescent="0.25">
      <c r="A2589" s="1331" t="s">
        <v>2297</v>
      </c>
      <c r="B2589" s="1342" t="s">
        <v>1488</v>
      </c>
      <c r="C2589" s="1343"/>
      <c r="D2589" s="1344"/>
      <c r="E2589" s="1340"/>
      <c r="F2589" s="1345"/>
      <c r="G2589" s="1330"/>
    </row>
    <row r="2590" spans="1:7" customFormat="1" ht="15" x14ac:dyDescent="0.25">
      <c r="A2590" s="1331"/>
      <c r="B2590" s="1346" t="s">
        <v>1489</v>
      </c>
      <c r="C2590" s="1327">
        <v>82</v>
      </c>
      <c r="D2590" s="1328" t="s">
        <v>419</v>
      </c>
      <c r="E2590" s="1347">
        <v>150000</v>
      </c>
      <c r="F2590" s="1336">
        <f>E2590*C2590</f>
        <v>12300000</v>
      </c>
      <c r="G2590" s="1330"/>
    </row>
    <row r="2591" spans="1:7" customFormat="1" ht="15.75" thickBot="1" x14ac:dyDescent="0.3">
      <c r="A2591" s="1331"/>
      <c r="B2591" s="1348" t="s">
        <v>1490</v>
      </c>
      <c r="C2591" s="1349">
        <f>C2590*2</f>
        <v>164</v>
      </c>
      <c r="D2591" s="1350" t="s">
        <v>419</v>
      </c>
      <c r="E2591" s="1351">
        <v>130000</v>
      </c>
      <c r="F2591" s="1352">
        <f>E2591*C2591</f>
        <v>21320000</v>
      </c>
      <c r="G2591" s="1330"/>
    </row>
    <row r="2592" spans="1:7" customFormat="1" ht="15.75" thickBot="1" x14ac:dyDescent="0.3">
      <c r="A2592" s="1353"/>
      <c r="B2592" s="1842" t="s">
        <v>548</v>
      </c>
      <c r="C2592" s="1843"/>
      <c r="D2592" s="1843"/>
      <c r="E2592" s="1844"/>
      <c r="F2592" s="1341">
        <f>SUM(F2590:F2591)</f>
        <v>33620000</v>
      </c>
      <c r="G2592" s="1354"/>
    </row>
    <row r="2593" spans="1:12" customFormat="1" ht="15" x14ac:dyDescent="0.25">
      <c r="A2593" s="1331" t="s">
        <v>2298</v>
      </c>
      <c r="B2593" s="1355" t="s">
        <v>1491</v>
      </c>
      <c r="C2593" s="1343"/>
      <c r="D2593" s="1344"/>
      <c r="E2593" s="1340"/>
      <c r="F2593" s="1345"/>
      <c r="G2593" s="1330"/>
    </row>
    <row r="2594" spans="1:12" customFormat="1" ht="15" x14ac:dyDescent="0.25">
      <c r="A2594" s="1340"/>
      <c r="B2594" s="1356" t="s">
        <v>1502</v>
      </c>
      <c r="C2594" s="1327">
        <v>758</v>
      </c>
      <c r="D2594" s="1328" t="s">
        <v>1495</v>
      </c>
      <c r="E2594" s="1357">
        <v>130000</v>
      </c>
      <c r="F2594" s="1336">
        <f t="shared" ref="F2594:F2599" si="29">E2594*C2594</f>
        <v>98540000</v>
      </c>
      <c r="G2594" s="1330"/>
    </row>
    <row r="2595" spans="1:12" customFormat="1" ht="15" x14ac:dyDescent="0.25">
      <c r="A2595" s="1340"/>
      <c r="B2595" s="1356" t="s">
        <v>1501</v>
      </c>
      <c r="C2595" s="1327">
        <v>74</v>
      </c>
      <c r="D2595" s="1328" t="s">
        <v>843</v>
      </c>
      <c r="E2595" s="1357">
        <v>380000</v>
      </c>
      <c r="F2595" s="1336">
        <f t="shared" si="29"/>
        <v>28120000</v>
      </c>
      <c r="G2595" s="1330"/>
    </row>
    <row r="2596" spans="1:12" customFormat="1" ht="15" x14ac:dyDescent="0.25">
      <c r="A2596" s="1340"/>
      <c r="B2596" s="1339" t="s">
        <v>1493</v>
      </c>
      <c r="C2596" s="1337">
        <v>586</v>
      </c>
      <c r="D2596" s="1334" t="s">
        <v>159</v>
      </c>
      <c r="E2596" s="1335">
        <v>3000</v>
      </c>
      <c r="F2596" s="1336">
        <f t="shared" si="29"/>
        <v>1758000</v>
      </c>
      <c r="G2596" s="1330"/>
    </row>
    <row r="2597" spans="1:12" customFormat="1" ht="15" x14ac:dyDescent="0.25">
      <c r="A2597" s="1331"/>
      <c r="B2597" s="1339" t="s">
        <v>1503</v>
      </c>
      <c r="C2597" s="1337">
        <v>10</v>
      </c>
      <c r="D2597" s="1334" t="s">
        <v>110</v>
      </c>
      <c r="E2597" s="1335">
        <v>75000</v>
      </c>
      <c r="F2597" s="1336">
        <f t="shared" si="29"/>
        <v>750000</v>
      </c>
      <c r="G2597" s="1330"/>
    </row>
    <row r="2598" spans="1:12" customFormat="1" ht="15" x14ac:dyDescent="0.25">
      <c r="A2598" s="1358"/>
      <c r="B2598" s="1359" t="s">
        <v>1496</v>
      </c>
      <c r="C2598" s="1360">
        <v>1</v>
      </c>
      <c r="D2598" s="1361" t="s">
        <v>110</v>
      </c>
      <c r="E2598" s="1362">
        <v>250000</v>
      </c>
      <c r="F2598" s="1352">
        <f t="shared" si="29"/>
        <v>250000</v>
      </c>
      <c r="G2598" s="1330"/>
    </row>
    <row r="2599" spans="1:12" customFormat="1" ht="15.75" thickBot="1" x14ac:dyDescent="0.3">
      <c r="A2599" s="1338"/>
      <c r="B2599" s="1359" t="s">
        <v>1497</v>
      </c>
      <c r="C2599" s="1360">
        <v>1</v>
      </c>
      <c r="D2599" s="1361" t="s">
        <v>110</v>
      </c>
      <c r="E2599" s="1362">
        <v>500000</v>
      </c>
      <c r="F2599" s="1352">
        <f t="shared" si="29"/>
        <v>500000</v>
      </c>
      <c r="G2599" s="1330"/>
    </row>
    <row r="2600" spans="1:12" customFormat="1" ht="15.75" thickBot="1" x14ac:dyDescent="0.3">
      <c r="A2600" s="1343"/>
      <c r="B2600" s="1845" t="s">
        <v>548</v>
      </c>
      <c r="C2600" s="1846"/>
      <c r="D2600" s="1846"/>
      <c r="E2600" s="1847"/>
      <c r="F2600" s="1341">
        <f>SUM(F2594:F2599)</f>
        <v>129918000</v>
      </c>
      <c r="G2600" s="1354"/>
    </row>
    <row r="2601" spans="1:12" customFormat="1" ht="15.75" thickBot="1" x14ac:dyDescent="0.3">
      <c r="A2601" s="1343"/>
      <c r="B2601" s="1845" t="s">
        <v>26</v>
      </c>
      <c r="C2601" s="1846"/>
      <c r="D2601" s="1846"/>
      <c r="E2601" s="1847"/>
      <c r="F2601" s="1341">
        <f>F2600+F2592+F2588</f>
        <v>167482320</v>
      </c>
      <c r="G2601" s="1354"/>
      <c r="L2601" s="172"/>
    </row>
    <row r="2602" spans="1:12" customFormat="1" ht="15" x14ac:dyDescent="0.25">
      <c r="A2602" s="1852" t="s">
        <v>0</v>
      </c>
      <c r="B2602" s="1852"/>
      <c r="C2602" s="1852"/>
      <c r="D2602" s="1852"/>
      <c r="E2602" s="1852"/>
      <c r="F2602" s="1852"/>
      <c r="G2602" s="1852"/>
    </row>
    <row r="2603" spans="1:12" customFormat="1" ht="15" x14ac:dyDescent="0.25">
      <c r="A2603" s="1852" t="s">
        <v>1</v>
      </c>
      <c r="B2603" s="1852"/>
      <c r="C2603" s="1852"/>
      <c r="D2603" s="1852"/>
      <c r="E2603" s="1852"/>
      <c r="F2603" s="1852"/>
      <c r="G2603" s="1852"/>
    </row>
    <row r="2604" spans="1:12" customFormat="1" ht="15" x14ac:dyDescent="0.25">
      <c r="A2604" s="1852" t="s">
        <v>1769</v>
      </c>
      <c r="B2604" s="1852"/>
      <c r="C2604" s="1852"/>
      <c r="D2604" s="1852"/>
      <c r="E2604" s="1852"/>
      <c r="F2604" s="1852"/>
      <c r="G2604" s="1852"/>
    </row>
    <row r="2605" spans="1:12" customFormat="1" ht="15" x14ac:dyDescent="0.25">
      <c r="A2605" s="1307"/>
      <c r="B2605" s="1308"/>
      <c r="C2605" s="1309"/>
      <c r="D2605" s="1309"/>
      <c r="E2605" s="1310"/>
      <c r="F2605" s="1310"/>
      <c r="G2605" s="1310"/>
    </row>
    <row r="2606" spans="1:12" customFormat="1" ht="15" x14ac:dyDescent="0.25">
      <c r="A2606" s="1310" t="s">
        <v>1483</v>
      </c>
      <c r="B2606" s="1311"/>
      <c r="C2606" s="1312"/>
      <c r="D2606" s="1312"/>
      <c r="E2606" s="1313"/>
      <c r="F2606" s="1313"/>
      <c r="G2606" s="1310"/>
    </row>
    <row r="2607" spans="1:12" customFormat="1" ht="24.75" x14ac:dyDescent="0.25">
      <c r="A2607" s="1314" t="s">
        <v>712</v>
      </c>
      <c r="B2607" s="1315" t="s">
        <v>1504</v>
      </c>
      <c r="C2607" s="1312"/>
      <c r="D2607" s="1312"/>
      <c r="E2607" s="1313" t="s">
        <v>1484</v>
      </c>
      <c r="F2607" s="1313"/>
      <c r="G2607" s="1310"/>
    </row>
    <row r="2608" spans="1:12" customFormat="1" ht="75" x14ac:dyDescent="0.25">
      <c r="A2608" s="1316" t="s">
        <v>749</v>
      </c>
      <c r="B2608" s="1317" t="s">
        <v>2495</v>
      </c>
      <c r="C2608" s="1312"/>
      <c r="D2608" s="1312"/>
      <c r="E2608" s="1313" t="s">
        <v>1485</v>
      </c>
      <c r="F2608" s="1313"/>
      <c r="G2608" s="1314"/>
    </row>
    <row r="2609" spans="1:7" customFormat="1" ht="15" x14ac:dyDescent="0.25">
      <c r="A2609" s="1316" t="s">
        <v>1486</v>
      </c>
      <c r="B2609" s="1317" t="s">
        <v>2479</v>
      </c>
      <c r="C2609" s="1312"/>
      <c r="D2609" s="1312"/>
      <c r="E2609" s="1313"/>
      <c r="F2609" s="1313"/>
      <c r="G2609" s="1314"/>
    </row>
    <row r="2610" spans="1:7" customFormat="1" ht="15" x14ac:dyDescent="0.25">
      <c r="A2610" s="1310" t="s">
        <v>1487</v>
      </c>
      <c r="B2610" s="1311" t="s">
        <v>61</v>
      </c>
      <c r="C2610" s="1312"/>
      <c r="D2610" s="1312"/>
      <c r="E2610" s="1310"/>
      <c r="F2610" s="1310"/>
      <c r="G2610" s="1310"/>
    </row>
    <row r="2611" spans="1:7" customFormat="1" ht="15" x14ac:dyDescent="0.25">
      <c r="A2611" s="1314" t="s">
        <v>62</v>
      </c>
      <c r="B2611" s="1315" t="s">
        <v>63</v>
      </c>
      <c r="C2611" s="1312"/>
      <c r="D2611" s="1312"/>
      <c r="E2611" s="1314"/>
      <c r="F2611" s="1314"/>
      <c r="G2611" s="1314"/>
    </row>
    <row r="2612" spans="1:7" customFormat="1" ht="15" x14ac:dyDescent="0.25">
      <c r="A2612" s="1318"/>
      <c r="B2612" s="1319"/>
      <c r="C2612" s="1320"/>
      <c r="D2612" s="1320"/>
      <c r="E2612" s="1318"/>
      <c r="F2612" s="1318"/>
      <c r="G2612" s="1318"/>
    </row>
    <row r="2613" spans="1:7" customFormat="1" ht="24" x14ac:dyDescent="0.25">
      <c r="A2613" s="1321" t="s">
        <v>30</v>
      </c>
      <c r="B2613" s="1321" t="s">
        <v>11</v>
      </c>
      <c r="C2613" s="1855" t="s">
        <v>12</v>
      </c>
      <c r="D2613" s="1856"/>
      <c r="E2613" s="1323" t="s">
        <v>13</v>
      </c>
      <c r="F2613" s="1322" t="s">
        <v>14</v>
      </c>
      <c r="G2613" s="1324" t="s">
        <v>266</v>
      </c>
    </row>
    <row r="2614" spans="1:7" customFormat="1" ht="15" x14ac:dyDescent="0.25">
      <c r="A2614" s="1325">
        <v>1</v>
      </c>
      <c r="B2614" s="1326">
        <v>2</v>
      </c>
      <c r="C2614" s="1853">
        <v>3</v>
      </c>
      <c r="D2614" s="1854"/>
      <c r="E2614" s="1329">
        <v>4</v>
      </c>
      <c r="F2614" s="1327">
        <v>5</v>
      </c>
      <c r="G2614" s="1330">
        <v>7</v>
      </c>
    </row>
    <row r="2615" spans="1:7" customFormat="1" ht="15" x14ac:dyDescent="0.25">
      <c r="A2615" s="1331" t="s">
        <v>2244</v>
      </c>
      <c r="B2615" s="1332" t="s">
        <v>1505</v>
      </c>
      <c r="C2615" s="1333"/>
      <c r="D2615" s="1334"/>
      <c r="E2615" s="1335"/>
      <c r="F2615" s="1336"/>
      <c r="G2615" s="1330"/>
    </row>
    <row r="2616" spans="1:7" customFormat="1" ht="15" x14ac:dyDescent="0.25">
      <c r="A2616" s="1331" t="s">
        <v>2245</v>
      </c>
      <c r="B2616" s="1332" t="s">
        <v>2246</v>
      </c>
      <c r="C2616" s="1333"/>
      <c r="D2616" s="1334"/>
      <c r="E2616" s="1335"/>
      <c r="F2616" s="1336"/>
      <c r="G2616" s="1330"/>
    </row>
    <row r="2617" spans="1:7" customFormat="1" ht="24" x14ac:dyDescent="0.25">
      <c r="A2617" s="1331" t="s">
        <v>2247</v>
      </c>
      <c r="B2617" s="1332" t="s">
        <v>1499</v>
      </c>
      <c r="C2617" s="1337"/>
      <c r="D2617" s="1334"/>
      <c r="E2617" s="1335"/>
      <c r="F2617" s="1336"/>
      <c r="G2617" s="1330"/>
    </row>
    <row r="2618" spans="1:7" customFormat="1" ht="15.75" thickBot="1" x14ac:dyDescent="0.3">
      <c r="A2618" s="1338"/>
      <c r="B2618" s="1339" t="s">
        <v>2248</v>
      </c>
      <c r="C2618" s="1337">
        <v>1</v>
      </c>
      <c r="D2618" s="1334" t="s">
        <v>222</v>
      </c>
      <c r="E2618" s="1335">
        <v>86050</v>
      </c>
      <c r="F2618" s="1336">
        <f>E2618*C2618</f>
        <v>86050</v>
      </c>
      <c r="G2618" s="1330"/>
    </row>
    <row r="2619" spans="1:7" customFormat="1" ht="15.75" thickBot="1" x14ac:dyDescent="0.3">
      <c r="A2619" s="1340"/>
      <c r="B2619" s="1845" t="s">
        <v>548</v>
      </c>
      <c r="C2619" s="1846"/>
      <c r="D2619" s="1846"/>
      <c r="E2619" s="1847"/>
      <c r="F2619" s="1341">
        <f>SUM(F2618:F2618)</f>
        <v>86050</v>
      </c>
      <c r="G2619" s="1330"/>
    </row>
    <row r="2620" spans="1:7" customFormat="1" ht="15" x14ac:dyDescent="0.25">
      <c r="A2620" s="1331" t="s">
        <v>2249</v>
      </c>
      <c r="B2620" s="1342" t="s">
        <v>1488</v>
      </c>
      <c r="C2620" s="1343"/>
      <c r="D2620" s="1344"/>
      <c r="E2620" s="1340"/>
      <c r="F2620" s="1345"/>
      <c r="G2620" s="1330"/>
    </row>
    <row r="2621" spans="1:7" customFormat="1" ht="15" x14ac:dyDescent="0.25">
      <c r="A2621" s="1331"/>
      <c r="B2621" s="1346" t="s">
        <v>1489</v>
      </c>
      <c r="C2621" s="1327">
        <v>1</v>
      </c>
      <c r="D2621" s="1328" t="s">
        <v>419</v>
      </c>
      <c r="E2621" s="1347">
        <v>150000</v>
      </c>
      <c r="F2621" s="1336">
        <f>E2621*C2621</f>
        <v>150000</v>
      </c>
      <c r="G2621" s="1330"/>
    </row>
    <row r="2622" spans="1:7" customFormat="1" ht="15.75" thickBot="1" x14ac:dyDescent="0.3">
      <c r="A2622" s="1363"/>
      <c r="B2622" s="1348" t="s">
        <v>1490</v>
      </c>
      <c r="C2622" s="1349">
        <v>2</v>
      </c>
      <c r="D2622" s="1350" t="s">
        <v>419</v>
      </c>
      <c r="E2622" s="1351">
        <v>130000</v>
      </c>
      <c r="F2622" s="1352">
        <f>E2622*C2622</f>
        <v>260000</v>
      </c>
      <c r="G2622" s="1330"/>
    </row>
    <row r="2623" spans="1:7" customFormat="1" ht="15.75" thickBot="1" x14ac:dyDescent="0.3">
      <c r="A2623" s="1353"/>
      <c r="B2623" s="1842" t="s">
        <v>548</v>
      </c>
      <c r="C2623" s="1843"/>
      <c r="D2623" s="1843"/>
      <c r="E2623" s="1844"/>
      <c r="F2623" s="1341">
        <f>SUM(F2621:F2622)</f>
        <v>410000</v>
      </c>
      <c r="G2623" s="1354"/>
    </row>
    <row r="2624" spans="1:7" customFormat="1" ht="15" x14ac:dyDescent="0.25">
      <c r="A2624" s="1331" t="s">
        <v>2251</v>
      </c>
      <c r="B2624" s="1355" t="s">
        <v>1491</v>
      </c>
      <c r="C2624" s="1343"/>
      <c r="D2624" s="1344"/>
      <c r="E2624" s="1340"/>
      <c r="F2624" s="1345"/>
      <c r="G2624" s="1330"/>
    </row>
    <row r="2625" spans="1:12" customFormat="1" ht="16.5" x14ac:dyDescent="0.25">
      <c r="A2625" s="1358"/>
      <c r="B2625" s="1364" t="s">
        <v>2253</v>
      </c>
      <c r="C2625" s="1343">
        <v>3586</v>
      </c>
      <c r="D2625" s="1344" t="s">
        <v>2265</v>
      </c>
      <c r="E2625" s="1365">
        <v>3000</v>
      </c>
      <c r="F2625" s="1345">
        <f>E2625*C2625</f>
        <v>10758000</v>
      </c>
      <c r="G2625" s="1330"/>
    </row>
    <row r="2626" spans="1:12" customFormat="1" ht="16.5" x14ac:dyDescent="0.25">
      <c r="A2626" s="1358"/>
      <c r="B2626" s="1366" t="s">
        <v>2266</v>
      </c>
      <c r="C2626" s="1343">
        <v>6</v>
      </c>
      <c r="D2626" s="1344" t="s">
        <v>843</v>
      </c>
      <c r="E2626" s="1365">
        <v>325000</v>
      </c>
      <c r="F2626" s="1345">
        <f>E2626*C2626</f>
        <v>1950000</v>
      </c>
      <c r="G2626" s="1330"/>
    </row>
    <row r="2627" spans="1:12" customFormat="1" ht="16.5" x14ac:dyDescent="0.25">
      <c r="A2627" s="1358"/>
      <c r="B2627" s="1364" t="s">
        <v>2267</v>
      </c>
      <c r="C2627" s="1343">
        <v>8</v>
      </c>
      <c r="D2627" s="1344" t="s">
        <v>843</v>
      </c>
      <c r="E2627" s="1365">
        <v>350000</v>
      </c>
      <c r="F2627" s="1345">
        <f>E2627*C2627</f>
        <v>2800000</v>
      </c>
      <c r="G2627" s="1330"/>
    </row>
    <row r="2628" spans="1:12" customFormat="1" ht="15.75" thickBot="1" x14ac:dyDescent="0.3">
      <c r="A2628" s="1338"/>
      <c r="B2628" s="1359"/>
      <c r="C2628" s="1360"/>
      <c r="D2628" s="1361"/>
      <c r="E2628" s="1362"/>
      <c r="F2628" s="1352"/>
      <c r="G2628" s="1330"/>
    </row>
    <row r="2629" spans="1:12" customFormat="1" ht="15.75" thickBot="1" x14ac:dyDescent="0.3">
      <c r="A2629" s="1343"/>
      <c r="B2629" s="1845" t="s">
        <v>548</v>
      </c>
      <c r="C2629" s="1846"/>
      <c r="D2629" s="1846"/>
      <c r="E2629" s="1847"/>
      <c r="F2629" s="1341">
        <f>SUM(F2625:F2627)</f>
        <v>15508000</v>
      </c>
      <c r="G2629" s="1354"/>
    </row>
    <row r="2630" spans="1:12" customFormat="1" ht="15.75" thickBot="1" x14ac:dyDescent="0.3">
      <c r="A2630" s="1343"/>
      <c r="B2630" s="1845" t="s">
        <v>26</v>
      </c>
      <c r="C2630" s="1846"/>
      <c r="D2630" s="1846"/>
      <c r="E2630" s="1847"/>
      <c r="F2630" s="1341">
        <f>F2629+F2623+F2619</f>
        <v>16004050</v>
      </c>
      <c r="G2630" s="1354"/>
      <c r="L2630" s="172"/>
    </row>
    <row r="2631" spans="1:12" customFormat="1" ht="15" x14ac:dyDescent="0.25">
      <c r="A2631" s="1796" t="s">
        <v>995</v>
      </c>
      <c r="B2631" s="1796"/>
      <c r="C2631" s="1796"/>
      <c r="D2631" s="1796"/>
      <c r="E2631" s="1796"/>
      <c r="F2631" s="1796"/>
      <c r="G2631" s="1796"/>
    </row>
    <row r="2632" spans="1:12" customFormat="1" ht="15" x14ac:dyDescent="0.25">
      <c r="A2632" s="1796" t="s">
        <v>1</v>
      </c>
      <c r="B2632" s="1796"/>
      <c r="C2632" s="1796"/>
      <c r="D2632" s="1796"/>
      <c r="E2632" s="1796"/>
      <c r="F2632" s="1796"/>
      <c r="G2632" s="1796"/>
    </row>
    <row r="2633" spans="1:12" customFormat="1" ht="15" x14ac:dyDescent="0.25">
      <c r="A2633" s="1796" t="s">
        <v>1425</v>
      </c>
      <c r="B2633" s="1796"/>
      <c r="C2633" s="1796"/>
      <c r="D2633" s="1796"/>
      <c r="E2633" s="1796"/>
      <c r="F2633" s="1796"/>
      <c r="G2633" s="1796"/>
    </row>
    <row r="2634" spans="1:12" customFormat="1" ht="15" x14ac:dyDescent="0.25">
      <c r="A2634" s="374"/>
      <c r="B2634" s="375"/>
      <c r="C2634" s="376"/>
      <c r="D2634" s="376"/>
      <c r="E2634" s="377"/>
      <c r="F2634" s="377"/>
      <c r="G2634" s="377"/>
    </row>
    <row r="2635" spans="1:12" customFormat="1" ht="15" x14ac:dyDescent="0.25">
      <c r="A2635" s="377" t="s">
        <v>1483</v>
      </c>
      <c r="B2635" s="378"/>
      <c r="C2635" s="379"/>
      <c r="D2635" s="379"/>
      <c r="E2635" s="380"/>
      <c r="F2635" s="380"/>
      <c r="G2635" s="377"/>
    </row>
    <row r="2636" spans="1:12" customFormat="1" ht="24.75" x14ac:dyDescent="0.25">
      <c r="A2636" s="381" t="s">
        <v>712</v>
      </c>
      <c r="B2636" s="382" t="s">
        <v>1504</v>
      </c>
      <c r="C2636" s="379"/>
      <c r="D2636" s="379"/>
      <c r="E2636" s="380" t="s">
        <v>1484</v>
      </c>
      <c r="F2636" s="380"/>
      <c r="G2636" s="377"/>
    </row>
    <row r="2637" spans="1:12" customFormat="1" ht="75" x14ac:dyDescent="0.25">
      <c r="A2637" s="383" t="s">
        <v>749</v>
      </c>
      <c r="B2637" s="384" t="s">
        <v>2627</v>
      </c>
      <c r="C2637" s="379"/>
      <c r="D2637" s="379"/>
      <c r="E2637" s="380" t="s">
        <v>1485</v>
      </c>
      <c r="F2637" s="380"/>
      <c r="G2637" s="381"/>
    </row>
    <row r="2638" spans="1:12" customFormat="1" ht="45" x14ac:dyDescent="0.25">
      <c r="A2638" s="383" t="s">
        <v>1486</v>
      </c>
      <c r="B2638" s="384" t="s">
        <v>2628</v>
      </c>
      <c r="C2638" s="379"/>
      <c r="D2638" s="379"/>
      <c r="E2638" s="380"/>
      <c r="F2638" s="380"/>
      <c r="G2638" s="381"/>
    </row>
    <row r="2639" spans="1:12" customFormat="1" ht="15" x14ac:dyDescent="0.25">
      <c r="A2639" s="377" t="s">
        <v>1487</v>
      </c>
      <c r="B2639" s="378" t="s">
        <v>61</v>
      </c>
      <c r="C2639" s="379"/>
      <c r="D2639" s="379"/>
      <c r="E2639" s="377"/>
      <c r="F2639" s="377"/>
      <c r="G2639" s="377"/>
    </row>
    <row r="2640" spans="1:12" customFormat="1" ht="15" x14ac:dyDescent="0.25">
      <c r="A2640" s="381" t="s">
        <v>62</v>
      </c>
      <c r="B2640" s="382" t="s">
        <v>63</v>
      </c>
      <c r="C2640" s="379"/>
      <c r="D2640" s="379"/>
      <c r="E2640" s="381"/>
      <c r="F2640" s="381"/>
      <c r="G2640" s="381"/>
    </row>
    <row r="2641" spans="1:7" customFormat="1" ht="15" x14ac:dyDescent="0.25">
      <c r="A2641" s="385"/>
      <c r="B2641" s="386"/>
      <c r="C2641" s="387"/>
      <c r="D2641" s="387"/>
      <c r="E2641" s="385"/>
      <c r="F2641" s="385"/>
      <c r="G2641" s="385"/>
    </row>
    <row r="2642" spans="1:7" customFormat="1" ht="24" x14ac:dyDescent="0.25">
      <c r="A2642" s="388" t="s">
        <v>30</v>
      </c>
      <c r="B2642" s="388" t="s">
        <v>11</v>
      </c>
      <c r="C2642" s="1787" t="s">
        <v>12</v>
      </c>
      <c r="D2642" s="1788"/>
      <c r="E2642" s="152" t="s">
        <v>13</v>
      </c>
      <c r="F2642" s="389" t="s">
        <v>14</v>
      </c>
      <c r="G2642" s="390" t="s">
        <v>266</v>
      </c>
    </row>
    <row r="2643" spans="1:7" customFormat="1" ht="15" x14ac:dyDescent="0.25">
      <c r="A2643" s="197">
        <v>1</v>
      </c>
      <c r="B2643" s="198">
        <v>2</v>
      </c>
      <c r="C2643" s="1773">
        <v>3</v>
      </c>
      <c r="D2643" s="1774"/>
      <c r="E2643" s="2">
        <v>4</v>
      </c>
      <c r="F2643" s="205">
        <v>5</v>
      </c>
      <c r="G2643" s="202">
        <v>7</v>
      </c>
    </row>
    <row r="2644" spans="1:7" customFormat="1" ht="15" x14ac:dyDescent="0.25">
      <c r="A2644" s="391" t="s">
        <v>2294</v>
      </c>
      <c r="B2644" s="153" t="s">
        <v>1505</v>
      </c>
      <c r="C2644" s="154"/>
      <c r="D2644" s="155"/>
      <c r="E2644" s="156"/>
      <c r="F2644" s="157"/>
      <c r="G2644" s="202"/>
    </row>
    <row r="2645" spans="1:7" customFormat="1" ht="15" x14ac:dyDescent="0.25">
      <c r="A2645" s="391" t="s">
        <v>2295</v>
      </c>
      <c r="B2645" s="153" t="s">
        <v>2246</v>
      </c>
      <c r="C2645" s="154"/>
      <c r="D2645" s="155"/>
      <c r="E2645" s="156"/>
      <c r="F2645" s="157"/>
      <c r="G2645" s="202"/>
    </row>
    <row r="2646" spans="1:7" customFormat="1" ht="24" x14ac:dyDescent="0.25">
      <c r="A2646" s="391" t="s">
        <v>2296</v>
      </c>
      <c r="B2646" s="153" t="s">
        <v>1499</v>
      </c>
      <c r="C2646" s="392"/>
      <c r="D2646" s="155"/>
      <c r="E2646" s="156"/>
      <c r="F2646" s="157"/>
      <c r="G2646" s="202"/>
    </row>
    <row r="2647" spans="1:7" customFormat="1" ht="15.75" thickBot="1" x14ac:dyDescent="0.3">
      <c r="A2647" s="257"/>
      <c r="B2647" s="158" t="s">
        <v>188</v>
      </c>
      <c r="C2647" s="392">
        <v>1</v>
      </c>
      <c r="D2647" s="155" t="s">
        <v>473</v>
      </c>
      <c r="E2647" s="156">
        <v>1500000</v>
      </c>
      <c r="F2647" s="157">
        <f>E2647*C2647</f>
        <v>1500000</v>
      </c>
      <c r="G2647" s="202"/>
    </row>
    <row r="2648" spans="1:7" customFormat="1" ht="15.75" thickBot="1" x14ac:dyDescent="0.3">
      <c r="A2648" s="207"/>
      <c r="B2648" s="1781" t="s">
        <v>548</v>
      </c>
      <c r="C2648" s="1782"/>
      <c r="D2648" s="1782"/>
      <c r="E2648" s="1783"/>
      <c r="F2648" s="163">
        <f>SUM(F2647:F2647)</f>
        <v>1500000</v>
      </c>
      <c r="G2648" s="202"/>
    </row>
    <row r="2649" spans="1:7" customFormat="1" ht="15" x14ac:dyDescent="0.25">
      <c r="A2649" s="391" t="s">
        <v>2297</v>
      </c>
      <c r="B2649" s="394" t="s">
        <v>1488</v>
      </c>
      <c r="C2649" s="210"/>
      <c r="D2649" s="211"/>
      <c r="E2649" s="207"/>
      <c r="F2649" s="164"/>
      <c r="G2649" s="202"/>
    </row>
    <row r="2650" spans="1:7" customFormat="1" ht="15" x14ac:dyDescent="0.25">
      <c r="A2650" s="391"/>
      <c r="B2650" s="395" t="s">
        <v>1489</v>
      </c>
      <c r="C2650" s="205">
        <v>30</v>
      </c>
      <c r="D2650" s="206" t="s">
        <v>419</v>
      </c>
      <c r="E2650" s="175">
        <v>150000</v>
      </c>
      <c r="F2650" s="157">
        <f>E2650*C2650</f>
        <v>4500000</v>
      </c>
      <c r="G2650" s="202"/>
    </row>
    <row r="2651" spans="1:7" customFormat="1" ht="15.75" thickBot="1" x14ac:dyDescent="0.3">
      <c r="A2651" s="391"/>
      <c r="B2651" s="396" t="s">
        <v>1490</v>
      </c>
      <c r="C2651" s="397">
        <f>C2650*2</f>
        <v>60</v>
      </c>
      <c r="D2651" s="236" t="s">
        <v>419</v>
      </c>
      <c r="E2651" s="174">
        <v>130000</v>
      </c>
      <c r="F2651" s="162">
        <f>E2651*C2651</f>
        <v>7800000</v>
      </c>
      <c r="G2651" s="202"/>
    </row>
    <row r="2652" spans="1:7" customFormat="1" ht="15.75" thickBot="1" x14ac:dyDescent="0.3">
      <c r="A2652" s="398"/>
      <c r="B2652" s="1784" t="s">
        <v>548</v>
      </c>
      <c r="C2652" s="1785"/>
      <c r="D2652" s="1785"/>
      <c r="E2652" s="1786"/>
      <c r="F2652" s="163">
        <f>SUM(F2650:F2651)</f>
        <v>12300000</v>
      </c>
      <c r="G2652" s="399"/>
    </row>
    <row r="2653" spans="1:7" customFormat="1" ht="15" x14ac:dyDescent="0.25">
      <c r="A2653" s="391" t="s">
        <v>2298</v>
      </c>
      <c r="B2653" s="360" t="s">
        <v>1491</v>
      </c>
      <c r="C2653" s="210"/>
      <c r="D2653" s="211"/>
      <c r="E2653" s="207"/>
      <c r="F2653" s="164"/>
      <c r="G2653" s="202"/>
    </row>
    <row r="2654" spans="1:7" customFormat="1" ht="15" x14ac:dyDescent="0.25">
      <c r="A2654" s="207"/>
      <c r="B2654" s="213" t="s">
        <v>1502</v>
      </c>
      <c r="C2654" s="1480">
        <v>342</v>
      </c>
      <c r="D2654" s="206" t="s">
        <v>1495</v>
      </c>
      <c r="E2654" s="215">
        <v>130000</v>
      </c>
      <c r="F2654" s="157">
        <f>E2654*C2654</f>
        <v>44460000</v>
      </c>
      <c r="G2654" s="202"/>
    </row>
    <row r="2655" spans="1:7" customFormat="1" ht="15" x14ac:dyDescent="0.25">
      <c r="A2655" s="207"/>
      <c r="B2655" s="213" t="s">
        <v>1501</v>
      </c>
      <c r="C2655" s="1480">
        <v>34</v>
      </c>
      <c r="D2655" s="206" t="s">
        <v>843</v>
      </c>
      <c r="E2655" s="215">
        <v>380000</v>
      </c>
      <c r="F2655" s="157">
        <f t="shared" ref="F2655:F2660" si="30">E2655*C2655</f>
        <v>12920000</v>
      </c>
      <c r="G2655" s="202"/>
    </row>
    <row r="2656" spans="1:7" customFormat="1" ht="15" x14ac:dyDescent="0.25">
      <c r="A2656" s="207"/>
      <c r="B2656" s="158" t="s">
        <v>1493</v>
      </c>
      <c r="C2656" s="392">
        <v>76</v>
      </c>
      <c r="D2656" s="155" t="s">
        <v>159</v>
      </c>
      <c r="E2656" s="156">
        <v>3000</v>
      </c>
      <c r="F2656" s="157">
        <f t="shared" si="30"/>
        <v>228000</v>
      </c>
      <c r="G2656" s="202"/>
    </row>
    <row r="2657" spans="1:21" customFormat="1" ht="15" x14ac:dyDescent="0.25">
      <c r="A2657" s="391"/>
      <c r="B2657" s="158" t="s">
        <v>1503</v>
      </c>
      <c r="C2657" s="392">
        <v>54</v>
      </c>
      <c r="D2657" s="155" t="s">
        <v>110</v>
      </c>
      <c r="E2657" s="156">
        <v>75000</v>
      </c>
      <c r="F2657" s="157">
        <f t="shared" si="30"/>
        <v>4050000</v>
      </c>
      <c r="G2657" s="202"/>
    </row>
    <row r="2658" spans="1:21" customFormat="1" ht="15" x14ac:dyDescent="0.25">
      <c r="A2658" s="400"/>
      <c r="B2658" s="159" t="s">
        <v>2629</v>
      </c>
      <c r="C2658" s="393">
        <v>10</v>
      </c>
      <c r="D2658" s="160" t="s">
        <v>110</v>
      </c>
      <c r="E2658" s="156">
        <v>75000</v>
      </c>
      <c r="F2658" s="162">
        <f>E2658*C2658</f>
        <v>750000</v>
      </c>
      <c r="G2658" s="202"/>
    </row>
    <row r="2659" spans="1:21" customFormat="1" ht="15" x14ac:dyDescent="0.25">
      <c r="A2659" s="400"/>
      <c r="B2659" s="159" t="s">
        <v>1496</v>
      </c>
      <c r="C2659" s="393">
        <v>1</v>
      </c>
      <c r="D2659" s="160" t="s">
        <v>110</v>
      </c>
      <c r="E2659" s="161">
        <v>250000</v>
      </c>
      <c r="F2659" s="162">
        <f>E2659*C2659</f>
        <v>250000</v>
      </c>
      <c r="G2659" s="202"/>
    </row>
    <row r="2660" spans="1:21" customFormat="1" ht="15.75" thickBot="1" x14ac:dyDescent="0.3">
      <c r="A2660" s="257"/>
      <c r="B2660" s="159" t="s">
        <v>1497</v>
      </c>
      <c r="C2660" s="393">
        <v>1</v>
      </c>
      <c r="D2660" s="160" t="s">
        <v>110</v>
      </c>
      <c r="E2660" s="161">
        <v>500000</v>
      </c>
      <c r="F2660" s="162">
        <f t="shared" si="30"/>
        <v>500000</v>
      </c>
      <c r="G2660" s="202"/>
    </row>
    <row r="2661" spans="1:21" customFormat="1" ht="15.75" thickBot="1" x14ac:dyDescent="0.3">
      <c r="A2661" s="210"/>
      <c r="B2661" s="1781" t="s">
        <v>548</v>
      </c>
      <c r="C2661" s="1782"/>
      <c r="D2661" s="1782"/>
      <c r="E2661" s="1783"/>
      <c r="F2661" s="163">
        <f>SUM(F2654:F2660)</f>
        <v>63158000</v>
      </c>
      <c r="G2661" s="399"/>
    </row>
    <row r="2662" spans="1:21" customFormat="1" ht="15.75" thickBot="1" x14ac:dyDescent="0.3">
      <c r="A2662" s="210"/>
      <c r="B2662" s="1781" t="s">
        <v>26</v>
      </c>
      <c r="C2662" s="1782"/>
      <c r="D2662" s="1782"/>
      <c r="E2662" s="1783"/>
      <c r="F2662" s="163">
        <f>F2661+F2652+F2648</f>
        <v>76958000</v>
      </c>
      <c r="G2662" s="399" t="s">
        <v>2571</v>
      </c>
      <c r="L2662" s="172"/>
      <c r="U2662" s="172">
        <f>F2662</f>
        <v>76958000</v>
      </c>
    </row>
    <row r="2663" spans="1:21" x14ac:dyDescent="0.2">
      <c r="A2663" s="1762" t="s">
        <v>549</v>
      </c>
      <c r="B2663" s="1762"/>
      <c r="C2663" s="188" t="s">
        <v>27</v>
      </c>
      <c r="D2663" s="1763" t="s">
        <v>1429</v>
      </c>
      <c r="E2663" s="1763"/>
      <c r="F2663" s="1763"/>
      <c r="G2663" s="188"/>
    </row>
    <row r="2664" spans="1:21" x14ac:dyDescent="0.2">
      <c r="A2664" s="1762" t="s">
        <v>28</v>
      </c>
      <c r="B2664" s="1762"/>
      <c r="C2664" s="188"/>
      <c r="D2664" s="1764" t="s">
        <v>2833</v>
      </c>
      <c r="E2664" s="1764"/>
      <c r="F2664" s="1764"/>
      <c r="G2664" s="188"/>
    </row>
    <row r="2665" spans="1:21" x14ac:dyDescent="0.2">
      <c r="A2665" s="186"/>
      <c r="B2665" s="187"/>
      <c r="C2665" s="188"/>
      <c r="D2665" s="189"/>
      <c r="E2665" s="218"/>
      <c r="F2665" s="218"/>
      <c r="G2665" s="188"/>
    </row>
    <row r="2666" spans="1:21" x14ac:dyDescent="0.2">
      <c r="A2666" s="186"/>
      <c r="B2666" s="187"/>
      <c r="C2666" s="188"/>
      <c r="D2666" s="189"/>
      <c r="E2666" s="218"/>
      <c r="F2666" s="218"/>
      <c r="G2666" s="188"/>
    </row>
    <row r="2667" spans="1:21" x14ac:dyDescent="0.2">
      <c r="A2667" s="1762"/>
      <c r="B2667" s="1762"/>
      <c r="C2667" s="188"/>
      <c r="D2667" s="189"/>
      <c r="E2667" s="1762"/>
      <c r="F2667" s="1762"/>
      <c r="G2667" s="188"/>
    </row>
    <row r="2668" spans="1:21" x14ac:dyDescent="0.2">
      <c r="A2668" s="1762" t="s">
        <v>29</v>
      </c>
      <c r="B2668" s="1762"/>
      <c r="C2668" s="188"/>
      <c r="D2668" s="1762" t="s">
        <v>2954</v>
      </c>
      <c r="E2668" s="1762"/>
      <c r="F2668" s="1762"/>
      <c r="G2668" s="188"/>
    </row>
    <row r="2669" spans="1:21" customFormat="1" ht="15" x14ac:dyDescent="0.25">
      <c r="A2669" s="1796" t="s">
        <v>995</v>
      </c>
      <c r="B2669" s="1796"/>
      <c r="C2669" s="1796"/>
      <c r="D2669" s="1796"/>
      <c r="E2669" s="1796"/>
      <c r="F2669" s="1796"/>
      <c r="G2669" s="1796"/>
    </row>
    <row r="2670" spans="1:21" customFormat="1" ht="15" x14ac:dyDescent="0.25">
      <c r="A2670" s="1796" t="s">
        <v>1</v>
      </c>
      <c r="B2670" s="1796"/>
      <c r="C2670" s="1796"/>
      <c r="D2670" s="1796"/>
      <c r="E2670" s="1796"/>
      <c r="F2670" s="1796"/>
      <c r="G2670" s="1796"/>
    </row>
    <row r="2671" spans="1:21" customFormat="1" ht="15" x14ac:dyDescent="0.25">
      <c r="A2671" s="1796" t="s">
        <v>1425</v>
      </c>
      <c r="B2671" s="1796"/>
      <c r="C2671" s="1796"/>
      <c r="D2671" s="1796"/>
      <c r="E2671" s="1796"/>
      <c r="F2671" s="1796"/>
      <c r="G2671" s="1796"/>
    </row>
    <row r="2672" spans="1:21" customFormat="1" ht="15" x14ac:dyDescent="0.25">
      <c r="A2672" s="374"/>
      <c r="B2672" s="375"/>
      <c r="C2672" s="376"/>
      <c r="D2672" s="376"/>
      <c r="E2672" s="377"/>
      <c r="F2672" s="377"/>
      <c r="G2672" s="377"/>
    </row>
    <row r="2673" spans="1:7" customFormat="1" ht="15" x14ac:dyDescent="0.25">
      <c r="A2673" s="377" t="s">
        <v>1483</v>
      </c>
      <c r="B2673" s="378"/>
      <c r="C2673" s="379"/>
      <c r="D2673" s="379"/>
      <c r="E2673" s="380"/>
      <c r="F2673" s="380"/>
      <c r="G2673" s="377"/>
    </row>
    <row r="2674" spans="1:7" customFormat="1" ht="24.75" x14ac:dyDescent="0.25">
      <c r="A2674" s="381" t="s">
        <v>712</v>
      </c>
      <c r="B2674" s="382" t="s">
        <v>1504</v>
      </c>
      <c r="C2674" s="379"/>
      <c r="D2674" s="379"/>
      <c r="E2674" s="380" t="s">
        <v>1484</v>
      </c>
      <c r="F2674" s="380"/>
      <c r="G2674" s="377"/>
    </row>
    <row r="2675" spans="1:7" customFormat="1" ht="75" x14ac:dyDescent="0.25">
      <c r="A2675" s="383" t="s">
        <v>749</v>
      </c>
      <c r="B2675" s="384" t="s">
        <v>2630</v>
      </c>
      <c r="C2675" s="379"/>
      <c r="D2675" s="379"/>
      <c r="E2675" s="380" t="s">
        <v>1485</v>
      </c>
      <c r="F2675" s="380"/>
      <c r="G2675" s="381"/>
    </row>
    <row r="2676" spans="1:7" customFormat="1" ht="15" x14ac:dyDescent="0.25">
      <c r="A2676" s="383" t="s">
        <v>1486</v>
      </c>
      <c r="B2676" s="384" t="s">
        <v>2304</v>
      </c>
      <c r="C2676" s="379"/>
      <c r="D2676" s="379">
        <f>84.4/43</f>
        <v>1.9627906976744187</v>
      </c>
      <c r="E2676" s="380"/>
      <c r="F2676" s="380"/>
      <c r="G2676" s="381"/>
    </row>
    <row r="2677" spans="1:7" customFormat="1" ht="15" x14ac:dyDescent="0.25">
      <c r="A2677" s="377" t="s">
        <v>1487</v>
      </c>
      <c r="B2677" s="378" t="s">
        <v>61</v>
      </c>
      <c r="C2677" s="379"/>
      <c r="D2677" s="379"/>
      <c r="E2677" s="377"/>
      <c r="F2677" s="377"/>
      <c r="G2677" s="377"/>
    </row>
    <row r="2678" spans="1:7" customFormat="1" ht="15" x14ac:dyDescent="0.25">
      <c r="A2678" s="381" t="s">
        <v>62</v>
      </c>
      <c r="B2678" s="382" t="s">
        <v>63</v>
      </c>
      <c r="C2678" s="379"/>
      <c r="D2678" s="379"/>
      <c r="E2678" s="381"/>
      <c r="F2678" s="381"/>
      <c r="G2678" s="381"/>
    </row>
    <row r="2679" spans="1:7" customFormat="1" ht="15" x14ac:dyDescent="0.25">
      <c r="A2679" s="385"/>
      <c r="B2679" s="386"/>
      <c r="C2679" s="387"/>
      <c r="D2679" s="387"/>
      <c r="E2679" s="385"/>
      <c r="F2679" s="385"/>
      <c r="G2679" s="385"/>
    </row>
    <row r="2680" spans="1:7" customFormat="1" ht="24" x14ac:dyDescent="0.25">
      <c r="A2680" s="388" t="s">
        <v>30</v>
      </c>
      <c r="B2680" s="388" t="s">
        <v>11</v>
      </c>
      <c r="C2680" s="1787" t="s">
        <v>12</v>
      </c>
      <c r="D2680" s="1788"/>
      <c r="E2680" s="152" t="s">
        <v>13</v>
      </c>
      <c r="F2680" s="389" t="s">
        <v>14</v>
      </c>
      <c r="G2680" s="390" t="s">
        <v>266</v>
      </c>
    </row>
    <row r="2681" spans="1:7" customFormat="1" ht="15" x14ac:dyDescent="0.25">
      <c r="A2681" s="197">
        <v>1</v>
      </c>
      <c r="B2681" s="198">
        <v>2</v>
      </c>
      <c r="C2681" s="1773">
        <v>3</v>
      </c>
      <c r="D2681" s="1774"/>
      <c r="E2681" s="2">
        <v>4</v>
      </c>
      <c r="F2681" s="205">
        <v>5</v>
      </c>
      <c r="G2681" s="202">
        <v>7</v>
      </c>
    </row>
    <row r="2682" spans="1:7" customFormat="1" ht="15" x14ac:dyDescent="0.25">
      <c r="A2682" s="391" t="s">
        <v>2244</v>
      </c>
      <c r="B2682" s="153" t="s">
        <v>1505</v>
      </c>
      <c r="C2682" s="154"/>
      <c r="D2682" s="155"/>
      <c r="E2682" s="156"/>
      <c r="F2682" s="157"/>
      <c r="G2682" s="202"/>
    </row>
    <row r="2683" spans="1:7" customFormat="1" ht="15" x14ac:dyDescent="0.25">
      <c r="A2683" s="391" t="s">
        <v>2245</v>
      </c>
      <c r="B2683" s="153" t="s">
        <v>2246</v>
      </c>
      <c r="C2683" s="154"/>
      <c r="D2683" s="155"/>
      <c r="E2683" s="156"/>
      <c r="F2683" s="157"/>
      <c r="G2683" s="202"/>
    </row>
    <row r="2684" spans="1:7" customFormat="1" ht="24" x14ac:dyDescent="0.25">
      <c r="A2684" s="391" t="s">
        <v>2247</v>
      </c>
      <c r="B2684" s="153" t="s">
        <v>1499</v>
      </c>
      <c r="C2684" s="392"/>
      <c r="D2684" s="155"/>
      <c r="E2684" s="156"/>
      <c r="F2684" s="157"/>
      <c r="G2684" s="202"/>
    </row>
    <row r="2685" spans="1:7" customFormat="1" ht="15.75" thickBot="1" x14ac:dyDescent="0.3">
      <c r="A2685" s="257"/>
      <c r="B2685" s="158" t="s">
        <v>2248</v>
      </c>
      <c r="C2685" s="392">
        <v>1</v>
      </c>
      <c r="D2685" s="155" t="s">
        <v>222</v>
      </c>
      <c r="E2685" s="156">
        <v>420000</v>
      </c>
      <c r="F2685" s="157">
        <f>E2685*C2685</f>
        <v>420000</v>
      </c>
      <c r="G2685" s="202"/>
    </row>
    <row r="2686" spans="1:7" customFormat="1" ht="15.75" thickBot="1" x14ac:dyDescent="0.3">
      <c r="A2686" s="207"/>
      <c r="B2686" s="1781" t="s">
        <v>548</v>
      </c>
      <c r="C2686" s="1782"/>
      <c r="D2686" s="1782"/>
      <c r="E2686" s="1783"/>
      <c r="F2686" s="163">
        <f>SUM(F2685:F2685)</f>
        <v>420000</v>
      </c>
      <c r="G2686" s="202"/>
    </row>
    <row r="2687" spans="1:7" customFormat="1" ht="15" x14ac:dyDescent="0.25">
      <c r="A2687" s="391" t="s">
        <v>2249</v>
      </c>
      <c r="B2687" s="394" t="s">
        <v>1488</v>
      </c>
      <c r="C2687" s="210"/>
      <c r="D2687" s="211"/>
      <c r="E2687" s="207"/>
      <c r="F2687" s="164"/>
      <c r="G2687" s="202"/>
    </row>
    <row r="2688" spans="1:7" customFormat="1" ht="15" x14ac:dyDescent="0.25">
      <c r="A2688" s="391"/>
      <c r="B2688" s="395" t="s">
        <v>1489</v>
      </c>
      <c r="C2688" s="205">
        <v>23</v>
      </c>
      <c r="D2688" s="206" t="s">
        <v>419</v>
      </c>
      <c r="E2688" s="175">
        <v>150000</v>
      </c>
      <c r="F2688" s="157">
        <f>E2688*C2688</f>
        <v>3450000</v>
      </c>
      <c r="G2688" s="202"/>
    </row>
    <row r="2689" spans="1:21" customFormat="1" ht="15.75" thickBot="1" x14ac:dyDescent="0.3">
      <c r="A2689" s="597"/>
      <c r="B2689" s="396" t="s">
        <v>1490</v>
      </c>
      <c r="C2689" s="397">
        <v>47</v>
      </c>
      <c r="D2689" s="236" t="s">
        <v>419</v>
      </c>
      <c r="E2689" s="174">
        <v>130000</v>
      </c>
      <c r="F2689" s="162">
        <f>E2689*C2689</f>
        <v>6110000</v>
      </c>
      <c r="G2689" s="202"/>
    </row>
    <row r="2690" spans="1:21" customFormat="1" ht="15.75" thickBot="1" x14ac:dyDescent="0.3">
      <c r="A2690" s="398"/>
      <c r="B2690" s="1784" t="s">
        <v>548</v>
      </c>
      <c r="C2690" s="1785"/>
      <c r="D2690" s="1785"/>
      <c r="E2690" s="1786"/>
      <c r="F2690" s="163">
        <f>SUM(F2688:F2689)</f>
        <v>9560000</v>
      </c>
      <c r="G2690" s="399"/>
    </row>
    <row r="2691" spans="1:21" customFormat="1" ht="15" x14ac:dyDescent="0.25">
      <c r="A2691" s="391" t="s">
        <v>2251</v>
      </c>
      <c r="B2691" s="360" t="s">
        <v>1491</v>
      </c>
      <c r="C2691" s="210"/>
      <c r="D2691" s="211"/>
      <c r="E2691" s="207"/>
      <c r="F2691" s="164"/>
      <c r="G2691" s="202"/>
    </row>
    <row r="2692" spans="1:21" customFormat="1" ht="16.5" x14ac:dyDescent="0.25">
      <c r="A2692" s="400"/>
      <c r="B2692" s="179" t="s">
        <v>2253</v>
      </c>
      <c r="C2692" s="210">
        <v>2608</v>
      </c>
      <c r="D2692" s="211" t="s">
        <v>2265</v>
      </c>
      <c r="E2692" s="178">
        <v>3000</v>
      </c>
      <c r="F2692" s="164">
        <f>E2692*C2692</f>
        <v>7824000</v>
      </c>
      <c r="G2692" s="202"/>
    </row>
    <row r="2693" spans="1:21" customFormat="1" ht="16.5" x14ac:dyDescent="0.25">
      <c r="A2693" s="400"/>
      <c r="B2693" s="181" t="s">
        <v>2266</v>
      </c>
      <c r="C2693" s="210">
        <v>5</v>
      </c>
      <c r="D2693" s="211" t="s">
        <v>843</v>
      </c>
      <c r="E2693" s="178">
        <v>325000</v>
      </c>
      <c r="F2693" s="164">
        <f>E2693*C2693</f>
        <v>1625000</v>
      </c>
      <c r="G2693" s="202"/>
    </row>
    <row r="2694" spans="1:21" customFormat="1" ht="16.5" x14ac:dyDescent="0.25">
      <c r="A2694" s="400"/>
      <c r="B2694" s="179" t="s">
        <v>2267</v>
      </c>
      <c r="C2694" s="210">
        <v>6</v>
      </c>
      <c r="D2694" s="211" t="s">
        <v>843</v>
      </c>
      <c r="E2694" s="178">
        <v>350000</v>
      </c>
      <c r="F2694" s="164">
        <f>E2694*C2694</f>
        <v>2100000</v>
      </c>
      <c r="G2694" s="202"/>
    </row>
    <row r="2695" spans="1:21" customFormat="1" ht="15.75" thickBot="1" x14ac:dyDescent="0.3">
      <c r="A2695" s="257"/>
      <c r="B2695" s="159"/>
      <c r="C2695" s="393"/>
      <c r="D2695" s="160"/>
      <c r="E2695" s="161"/>
      <c r="F2695" s="162"/>
      <c r="G2695" s="202"/>
    </row>
    <row r="2696" spans="1:21" customFormat="1" ht="15.75" thickBot="1" x14ac:dyDescent="0.3">
      <c r="A2696" s="210"/>
      <c r="B2696" s="1781" t="s">
        <v>548</v>
      </c>
      <c r="C2696" s="1782"/>
      <c r="D2696" s="1782"/>
      <c r="E2696" s="1783"/>
      <c r="F2696" s="163">
        <f>SUM(F2692:F2694)</f>
        <v>11549000</v>
      </c>
      <c r="G2696" s="399"/>
    </row>
    <row r="2697" spans="1:21" customFormat="1" ht="15.75" thickBot="1" x14ac:dyDescent="0.3">
      <c r="A2697" s="210"/>
      <c r="B2697" s="1781" t="s">
        <v>26</v>
      </c>
      <c r="C2697" s="1782"/>
      <c r="D2697" s="1782"/>
      <c r="E2697" s="1783"/>
      <c r="F2697" s="163">
        <f>F2696+F2690+F2686</f>
        <v>21529000</v>
      </c>
      <c r="G2697" s="399" t="s">
        <v>2571</v>
      </c>
      <c r="L2697" s="172"/>
      <c r="U2697" s="172">
        <f>F2697</f>
        <v>21529000</v>
      </c>
    </row>
    <row r="2698" spans="1:21" x14ac:dyDescent="0.2">
      <c r="A2698" s="1762" t="s">
        <v>549</v>
      </c>
      <c r="B2698" s="1762"/>
      <c r="C2698" s="188" t="s">
        <v>27</v>
      </c>
      <c r="D2698" s="1763" t="s">
        <v>1429</v>
      </c>
      <c r="E2698" s="1763"/>
      <c r="F2698" s="1763"/>
      <c r="G2698" s="188"/>
    </row>
    <row r="2699" spans="1:21" x14ac:dyDescent="0.2">
      <c r="A2699" s="1762" t="s">
        <v>28</v>
      </c>
      <c r="B2699" s="1762"/>
      <c r="C2699" s="188"/>
      <c r="D2699" s="1764" t="s">
        <v>2833</v>
      </c>
      <c r="E2699" s="1764"/>
      <c r="F2699" s="1764"/>
      <c r="G2699" s="188"/>
    </row>
    <row r="2700" spans="1:21" x14ac:dyDescent="0.2">
      <c r="A2700" s="186"/>
      <c r="B2700" s="187"/>
      <c r="C2700" s="188"/>
      <c r="D2700" s="189"/>
      <c r="E2700" s="218"/>
      <c r="F2700" s="218"/>
      <c r="G2700" s="188"/>
    </row>
    <row r="2701" spans="1:21" x14ac:dyDescent="0.2">
      <c r="A2701" s="186"/>
      <c r="B2701" s="187"/>
      <c r="C2701" s="188"/>
      <c r="D2701" s="189"/>
      <c r="E2701" s="218"/>
      <c r="F2701" s="218"/>
      <c r="G2701" s="188"/>
    </row>
    <row r="2702" spans="1:21" x14ac:dyDescent="0.2">
      <c r="A2702" s="1762"/>
      <c r="B2702" s="1762"/>
      <c r="C2702" s="188"/>
      <c r="D2702" s="189"/>
      <c r="E2702" s="1762"/>
      <c r="F2702" s="1762"/>
      <c r="G2702" s="188"/>
    </row>
    <row r="2703" spans="1:21" x14ac:dyDescent="0.2">
      <c r="A2703" s="1762" t="s">
        <v>29</v>
      </c>
      <c r="B2703" s="1762"/>
      <c r="C2703" s="188"/>
      <c r="D2703" s="1762" t="s">
        <v>2954</v>
      </c>
      <c r="E2703" s="1762"/>
      <c r="F2703" s="1762"/>
      <c r="G2703" s="188"/>
    </row>
    <row r="2704" spans="1:21" customFormat="1" ht="15" x14ac:dyDescent="0.25">
      <c r="A2704" s="189"/>
      <c r="B2704" s="609"/>
      <c r="C2704" s="609"/>
      <c r="D2704" s="609"/>
      <c r="E2704" s="609"/>
      <c r="F2704" s="607"/>
      <c r="G2704" s="184"/>
    </row>
    <row r="2705" spans="1:7" customFormat="1" ht="15" x14ac:dyDescent="0.25">
      <c r="A2705" s="1796" t="s">
        <v>0</v>
      </c>
      <c r="B2705" s="1796"/>
      <c r="C2705" s="1796"/>
      <c r="D2705" s="1796"/>
      <c r="E2705" s="1796"/>
      <c r="F2705" s="1796"/>
      <c r="G2705" s="1796"/>
    </row>
    <row r="2706" spans="1:7" customFormat="1" ht="15" x14ac:dyDescent="0.25">
      <c r="A2706" s="1796" t="s">
        <v>1</v>
      </c>
      <c r="B2706" s="1796"/>
      <c r="C2706" s="1796"/>
      <c r="D2706" s="1796"/>
      <c r="E2706" s="1796"/>
      <c r="F2706" s="1796"/>
      <c r="G2706" s="1796"/>
    </row>
    <row r="2707" spans="1:7" customFormat="1" ht="15" x14ac:dyDescent="0.25">
      <c r="A2707" s="1796" t="s">
        <v>1769</v>
      </c>
      <c r="B2707" s="1796"/>
      <c r="C2707" s="1796"/>
      <c r="D2707" s="1796"/>
      <c r="E2707" s="1796"/>
      <c r="F2707" s="1796"/>
      <c r="G2707" s="1796"/>
    </row>
    <row r="2708" spans="1:7" customFormat="1" ht="15" x14ac:dyDescent="0.25">
      <c r="A2708" s="374"/>
      <c r="B2708" s="375"/>
      <c r="C2708" s="376"/>
      <c r="D2708" s="376"/>
      <c r="E2708" s="377"/>
      <c r="F2708" s="377"/>
      <c r="G2708" s="377"/>
    </row>
    <row r="2709" spans="1:7" customFormat="1" ht="15" x14ac:dyDescent="0.25">
      <c r="A2709" s="377" t="s">
        <v>1483</v>
      </c>
      <c r="B2709" s="378"/>
      <c r="C2709" s="379"/>
      <c r="D2709" s="379"/>
      <c r="E2709" s="380"/>
      <c r="F2709" s="380"/>
      <c r="G2709" s="377"/>
    </row>
    <row r="2710" spans="1:7" customFormat="1" ht="24.75" x14ac:dyDescent="0.25">
      <c r="A2710" s="381" t="s">
        <v>712</v>
      </c>
      <c r="B2710" s="382" t="s">
        <v>1504</v>
      </c>
      <c r="C2710" s="379"/>
      <c r="D2710" s="379"/>
      <c r="E2710" s="380" t="s">
        <v>1484</v>
      </c>
      <c r="F2710" s="380"/>
      <c r="G2710" s="377"/>
    </row>
    <row r="2711" spans="1:7" customFormat="1" ht="75" x14ac:dyDescent="0.25">
      <c r="A2711" s="383" t="s">
        <v>749</v>
      </c>
      <c r="B2711" s="384" t="s">
        <v>2480</v>
      </c>
      <c r="C2711" s="379"/>
      <c r="D2711" s="379"/>
      <c r="E2711" s="380" t="s">
        <v>1485</v>
      </c>
      <c r="F2711" s="380"/>
      <c r="G2711" s="381"/>
    </row>
    <row r="2712" spans="1:7" customFormat="1" ht="30" x14ac:dyDescent="0.25">
      <c r="A2712" s="383" t="s">
        <v>1486</v>
      </c>
      <c r="B2712" s="384" t="s">
        <v>2481</v>
      </c>
      <c r="C2712" s="379"/>
      <c r="D2712" s="379"/>
      <c r="E2712" s="380"/>
      <c r="F2712" s="380"/>
      <c r="G2712" s="381"/>
    </row>
    <row r="2713" spans="1:7" customFormat="1" ht="15" x14ac:dyDescent="0.25">
      <c r="A2713" s="377" t="s">
        <v>1487</v>
      </c>
      <c r="B2713" s="378" t="s">
        <v>61</v>
      </c>
      <c r="C2713" s="379"/>
      <c r="D2713" s="379"/>
      <c r="E2713" s="377"/>
      <c r="F2713" s="377"/>
      <c r="G2713" s="377"/>
    </row>
    <row r="2714" spans="1:7" customFormat="1" ht="15" x14ac:dyDescent="0.25">
      <c r="A2714" s="381" t="s">
        <v>62</v>
      </c>
      <c r="B2714" s="382" t="s">
        <v>63</v>
      </c>
      <c r="C2714" s="379"/>
      <c r="D2714" s="379"/>
      <c r="E2714" s="381"/>
      <c r="F2714" s="381"/>
      <c r="G2714" s="381"/>
    </row>
    <row r="2715" spans="1:7" customFormat="1" ht="15" x14ac:dyDescent="0.25">
      <c r="A2715" s="385"/>
      <c r="B2715" s="386"/>
      <c r="C2715" s="387"/>
      <c r="D2715" s="387"/>
      <c r="E2715" s="385"/>
      <c r="F2715" s="385"/>
      <c r="G2715" s="385"/>
    </row>
    <row r="2716" spans="1:7" customFormat="1" ht="24" x14ac:dyDescent="0.25">
      <c r="A2716" s="388" t="s">
        <v>30</v>
      </c>
      <c r="B2716" s="388" t="s">
        <v>11</v>
      </c>
      <c r="C2716" s="1787" t="s">
        <v>12</v>
      </c>
      <c r="D2716" s="1788"/>
      <c r="E2716" s="152" t="s">
        <v>13</v>
      </c>
      <c r="F2716" s="389" t="s">
        <v>14</v>
      </c>
      <c r="G2716" s="390" t="s">
        <v>266</v>
      </c>
    </row>
    <row r="2717" spans="1:7" customFormat="1" ht="15" x14ac:dyDescent="0.25">
      <c r="A2717" s="197">
        <v>1</v>
      </c>
      <c r="B2717" s="198">
        <v>2</v>
      </c>
      <c r="C2717" s="1773">
        <v>3</v>
      </c>
      <c r="D2717" s="1774"/>
      <c r="E2717" s="2">
        <v>4</v>
      </c>
      <c r="F2717" s="205">
        <v>5</v>
      </c>
      <c r="G2717" s="202">
        <v>7</v>
      </c>
    </row>
    <row r="2718" spans="1:7" customFormat="1" ht="15" x14ac:dyDescent="0.25">
      <c r="A2718" s="391" t="s">
        <v>2288</v>
      </c>
      <c r="B2718" s="153" t="s">
        <v>1505</v>
      </c>
      <c r="C2718" s="154"/>
      <c r="D2718" s="155"/>
      <c r="E2718" s="156"/>
      <c r="F2718" s="157"/>
      <c r="G2718" s="202"/>
    </row>
    <row r="2719" spans="1:7" customFormat="1" ht="15" x14ac:dyDescent="0.25">
      <c r="A2719" s="391" t="s">
        <v>2289</v>
      </c>
      <c r="B2719" s="153" t="s">
        <v>2246</v>
      </c>
      <c r="C2719" s="154"/>
      <c r="D2719" s="155"/>
      <c r="E2719" s="156"/>
      <c r="F2719" s="157"/>
      <c r="G2719" s="202"/>
    </row>
    <row r="2720" spans="1:7" customFormat="1" ht="24" x14ac:dyDescent="0.25">
      <c r="A2720" s="391" t="s">
        <v>2290</v>
      </c>
      <c r="B2720" s="153" t="s">
        <v>1499</v>
      </c>
      <c r="C2720" s="392"/>
      <c r="D2720" s="155"/>
      <c r="E2720" s="156"/>
      <c r="F2720" s="157"/>
      <c r="G2720" s="202"/>
    </row>
    <row r="2721" spans="1:19" customFormat="1" ht="15.75" thickBot="1" x14ac:dyDescent="0.3">
      <c r="A2721" s="257"/>
      <c r="B2721" s="158" t="s">
        <v>2248</v>
      </c>
      <c r="C2721" s="392">
        <v>1</v>
      </c>
      <c r="D2721" s="155" t="s">
        <v>222</v>
      </c>
      <c r="E2721" s="156">
        <v>83200</v>
      </c>
      <c r="F2721" s="157">
        <f>E2721*C2721</f>
        <v>83200</v>
      </c>
      <c r="G2721" s="202"/>
    </row>
    <row r="2722" spans="1:19" customFormat="1" ht="15.75" thickBot="1" x14ac:dyDescent="0.3">
      <c r="A2722" s="207"/>
      <c r="B2722" s="1781" t="s">
        <v>548</v>
      </c>
      <c r="C2722" s="1782"/>
      <c r="D2722" s="1782"/>
      <c r="E2722" s="1783"/>
      <c r="F2722" s="163">
        <f>SUM(F2721:F2721)</f>
        <v>83200</v>
      </c>
      <c r="G2722" s="202"/>
    </row>
    <row r="2723" spans="1:19" customFormat="1" ht="15" x14ac:dyDescent="0.25">
      <c r="A2723" s="391" t="s">
        <v>2291</v>
      </c>
      <c r="B2723" s="394" t="s">
        <v>1488</v>
      </c>
      <c r="C2723" s="210"/>
      <c r="D2723" s="211"/>
      <c r="E2723" s="207"/>
      <c r="F2723" s="164"/>
      <c r="G2723" s="202"/>
    </row>
    <row r="2724" spans="1:19" customFormat="1" ht="15.75" thickBot="1" x14ac:dyDescent="0.3">
      <c r="A2724" s="391"/>
      <c r="B2724" s="396" t="s">
        <v>1490</v>
      </c>
      <c r="C2724" s="397">
        <v>24</v>
      </c>
      <c r="D2724" s="236" t="s">
        <v>419</v>
      </c>
      <c r="E2724" s="174">
        <v>130000</v>
      </c>
      <c r="F2724" s="162">
        <f>E2724*C2724</f>
        <v>3120000</v>
      </c>
      <c r="G2724" s="202"/>
    </row>
    <row r="2725" spans="1:19" customFormat="1" ht="15.75" thickBot="1" x14ac:dyDescent="0.3">
      <c r="A2725" s="398"/>
      <c r="B2725" s="1784" t="s">
        <v>548</v>
      </c>
      <c r="C2725" s="1785"/>
      <c r="D2725" s="1785"/>
      <c r="E2725" s="1786"/>
      <c r="F2725" s="163">
        <f>SUM(F2724:F2724)</f>
        <v>3120000</v>
      </c>
      <c r="G2725" s="399"/>
    </row>
    <row r="2726" spans="1:19" customFormat="1" ht="15.75" thickBot="1" x14ac:dyDescent="0.3">
      <c r="A2726" s="257"/>
      <c r="B2726" s="159"/>
      <c r="C2726" s="393"/>
      <c r="D2726" s="160"/>
      <c r="E2726" s="161"/>
      <c r="F2726" s="162"/>
      <c r="G2726" s="202"/>
    </row>
    <row r="2727" spans="1:19" customFormat="1" ht="15.75" thickBot="1" x14ac:dyDescent="0.3">
      <c r="A2727" s="210"/>
      <c r="B2727" s="1781" t="s">
        <v>26</v>
      </c>
      <c r="C2727" s="1782"/>
      <c r="D2727" s="1782"/>
      <c r="E2727" s="1783"/>
      <c r="F2727" s="163">
        <f>F2725+F2722</f>
        <v>3203200</v>
      </c>
      <c r="G2727" s="399" t="s">
        <v>1711</v>
      </c>
      <c r="J2727" s="172">
        <f>F2727</f>
        <v>3203200</v>
      </c>
      <c r="S2727" s="172"/>
    </row>
    <row r="2728" spans="1:19" x14ac:dyDescent="0.2">
      <c r="A2728" s="1762" t="s">
        <v>549</v>
      </c>
      <c r="B2728" s="1762"/>
      <c r="C2728" s="188" t="s">
        <v>27</v>
      </c>
      <c r="D2728" s="1763" t="s">
        <v>1429</v>
      </c>
      <c r="E2728" s="1763"/>
      <c r="F2728" s="1763"/>
      <c r="G2728" s="188"/>
    </row>
    <row r="2729" spans="1:19" x14ac:dyDescent="0.2">
      <c r="A2729" s="1762" t="s">
        <v>28</v>
      </c>
      <c r="B2729" s="1762"/>
      <c r="C2729" s="188"/>
      <c r="D2729" s="1764" t="s">
        <v>2833</v>
      </c>
      <c r="E2729" s="1764"/>
      <c r="F2729" s="1764"/>
      <c r="G2729" s="188"/>
    </row>
    <row r="2730" spans="1:19" x14ac:dyDescent="0.2">
      <c r="A2730" s="186"/>
      <c r="B2730" s="187"/>
      <c r="C2730" s="188"/>
      <c r="D2730" s="189"/>
      <c r="E2730" s="218"/>
      <c r="F2730" s="218"/>
      <c r="G2730" s="188"/>
    </row>
    <row r="2731" spans="1:19" x14ac:dyDescent="0.2">
      <c r="A2731" s="186"/>
      <c r="B2731" s="187"/>
      <c r="C2731" s="188"/>
      <c r="D2731" s="189"/>
      <c r="E2731" s="218"/>
      <c r="F2731" s="218"/>
      <c r="G2731" s="188"/>
    </row>
    <row r="2732" spans="1:19" x14ac:dyDescent="0.2">
      <c r="A2732" s="1762"/>
      <c r="B2732" s="1762"/>
      <c r="C2732" s="188"/>
      <c r="D2732" s="189"/>
      <c r="E2732" s="1762"/>
      <c r="F2732" s="1762"/>
      <c r="G2732" s="188"/>
    </row>
    <row r="2733" spans="1:19" x14ac:dyDescent="0.2">
      <c r="A2733" s="1762" t="s">
        <v>29</v>
      </c>
      <c r="B2733" s="1762"/>
      <c r="C2733" s="188"/>
      <c r="D2733" s="1762" t="s">
        <v>2954</v>
      </c>
      <c r="E2733" s="1762"/>
      <c r="F2733" s="1762"/>
      <c r="G2733" s="188"/>
    </row>
    <row r="2734" spans="1:19" customFormat="1" ht="15" x14ac:dyDescent="0.25"/>
    <row r="2735" spans="1:19" customFormat="1" ht="15" x14ac:dyDescent="0.25"/>
    <row r="2736" spans="1:19" customFormat="1" ht="15" x14ac:dyDescent="0.25"/>
    <row r="2737" spans="1:7" customFormat="1" ht="15" x14ac:dyDescent="0.25">
      <c r="A2737" s="1796" t="s">
        <v>995</v>
      </c>
      <c r="B2737" s="1796"/>
      <c r="C2737" s="1796"/>
      <c r="D2737" s="1796"/>
      <c r="E2737" s="1796"/>
      <c r="F2737" s="1796"/>
      <c r="G2737" s="1796"/>
    </row>
    <row r="2738" spans="1:7" customFormat="1" ht="15" x14ac:dyDescent="0.25">
      <c r="A2738" s="1796" t="s">
        <v>1</v>
      </c>
      <c r="B2738" s="1796"/>
      <c r="C2738" s="1796"/>
      <c r="D2738" s="1796"/>
      <c r="E2738" s="1796"/>
      <c r="F2738" s="1796"/>
      <c r="G2738" s="1796"/>
    </row>
    <row r="2739" spans="1:7" customFormat="1" ht="15" x14ac:dyDescent="0.25">
      <c r="A2739" s="1796" t="s">
        <v>1769</v>
      </c>
      <c r="B2739" s="1796"/>
      <c r="C2739" s="1796"/>
      <c r="D2739" s="1796"/>
      <c r="E2739" s="1796"/>
      <c r="F2739" s="1796"/>
      <c r="G2739" s="1796"/>
    </row>
    <row r="2740" spans="1:7" customFormat="1" ht="15" x14ac:dyDescent="0.25">
      <c r="A2740" s="374"/>
      <c r="B2740" s="375"/>
      <c r="C2740" s="376"/>
      <c r="D2740" s="376"/>
      <c r="E2740" s="377"/>
      <c r="F2740" s="377"/>
      <c r="G2740" s="377"/>
    </row>
    <row r="2741" spans="1:7" customFormat="1" ht="15" x14ac:dyDescent="0.25">
      <c r="A2741" s="377" t="s">
        <v>1483</v>
      </c>
      <c r="B2741" s="378"/>
      <c r="C2741" s="379"/>
      <c r="D2741" s="379"/>
      <c r="E2741" s="380"/>
      <c r="F2741" s="380"/>
      <c r="G2741" s="377"/>
    </row>
    <row r="2742" spans="1:7" customFormat="1" ht="24.75" x14ac:dyDescent="0.25">
      <c r="A2742" s="381" t="s">
        <v>712</v>
      </c>
      <c r="B2742" s="382" t="s">
        <v>1504</v>
      </c>
      <c r="C2742" s="379"/>
      <c r="D2742" s="379"/>
      <c r="E2742" s="380" t="s">
        <v>1484</v>
      </c>
      <c r="F2742" s="380"/>
      <c r="G2742" s="377"/>
    </row>
    <row r="2743" spans="1:7" customFormat="1" ht="75" x14ac:dyDescent="0.25">
      <c r="A2743" s="383" t="s">
        <v>749</v>
      </c>
      <c r="B2743" s="384" t="s">
        <v>2482</v>
      </c>
      <c r="C2743" s="379"/>
      <c r="D2743" s="379"/>
      <c r="E2743" s="380" t="s">
        <v>1485</v>
      </c>
      <c r="F2743" s="380"/>
      <c r="G2743" s="381"/>
    </row>
    <row r="2744" spans="1:7" customFormat="1" ht="30" x14ac:dyDescent="0.25">
      <c r="A2744" s="383" t="s">
        <v>1486</v>
      </c>
      <c r="B2744" s="384" t="s">
        <v>2483</v>
      </c>
      <c r="C2744" s="379"/>
      <c r="D2744" s="379"/>
      <c r="E2744" s="380"/>
      <c r="F2744" s="380"/>
      <c r="G2744" s="381"/>
    </row>
    <row r="2745" spans="1:7" customFormat="1" ht="15" x14ac:dyDescent="0.25">
      <c r="A2745" s="377" t="s">
        <v>1487</v>
      </c>
      <c r="B2745" s="378" t="s">
        <v>61</v>
      </c>
      <c r="C2745" s="379"/>
      <c r="D2745" s="379"/>
      <c r="E2745" s="377"/>
      <c r="F2745" s="377"/>
      <c r="G2745" s="377"/>
    </row>
    <row r="2746" spans="1:7" customFormat="1" ht="15" x14ac:dyDescent="0.25">
      <c r="A2746" s="381" t="s">
        <v>62</v>
      </c>
      <c r="B2746" s="382" t="s">
        <v>63</v>
      </c>
      <c r="C2746" s="379"/>
      <c r="D2746" s="379"/>
      <c r="E2746" s="381"/>
      <c r="F2746" s="381"/>
      <c r="G2746" s="381"/>
    </row>
    <row r="2747" spans="1:7" customFormat="1" ht="15" x14ac:dyDescent="0.25">
      <c r="A2747" s="385"/>
      <c r="B2747" s="386"/>
      <c r="C2747" s="387"/>
      <c r="D2747" s="387"/>
      <c r="E2747" s="385"/>
      <c r="F2747" s="385"/>
      <c r="G2747" s="385"/>
    </row>
    <row r="2748" spans="1:7" customFormat="1" ht="24" x14ac:dyDescent="0.25">
      <c r="A2748" s="388" t="s">
        <v>30</v>
      </c>
      <c r="B2748" s="388" t="s">
        <v>11</v>
      </c>
      <c r="C2748" s="1787" t="s">
        <v>12</v>
      </c>
      <c r="D2748" s="1788"/>
      <c r="E2748" s="152" t="s">
        <v>13</v>
      </c>
      <c r="F2748" s="389" t="s">
        <v>14</v>
      </c>
      <c r="G2748" s="390" t="s">
        <v>266</v>
      </c>
    </row>
    <row r="2749" spans="1:7" customFormat="1" ht="15" x14ac:dyDescent="0.25">
      <c r="A2749" s="197">
        <v>1</v>
      </c>
      <c r="B2749" s="198">
        <v>2</v>
      </c>
      <c r="C2749" s="1773">
        <v>3</v>
      </c>
      <c r="D2749" s="1774"/>
      <c r="E2749" s="2">
        <v>4</v>
      </c>
      <c r="F2749" s="205">
        <v>5</v>
      </c>
      <c r="G2749" s="202">
        <v>7</v>
      </c>
    </row>
    <row r="2750" spans="1:7" customFormat="1" ht="15" x14ac:dyDescent="0.25">
      <c r="A2750" s="391" t="s">
        <v>2294</v>
      </c>
      <c r="B2750" s="153" t="s">
        <v>1505</v>
      </c>
      <c r="C2750" s="154"/>
      <c r="D2750" s="155"/>
      <c r="E2750" s="156"/>
      <c r="F2750" s="157"/>
      <c r="G2750" s="202"/>
    </row>
    <row r="2751" spans="1:7" customFormat="1" ht="15" x14ac:dyDescent="0.25">
      <c r="A2751" s="391" t="s">
        <v>2295</v>
      </c>
      <c r="B2751" s="153" t="s">
        <v>2246</v>
      </c>
      <c r="C2751" s="154"/>
      <c r="D2751" s="155"/>
      <c r="E2751" s="156"/>
      <c r="F2751" s="157"/>
      <c r="G2751" s="202"/>
    </row>
    <row r="2752" spans="1:7" customFormat="1" ht="24" x14ac:dyDescent="0.25">
      <c r="A2752" s="391" t="s">
        <v>2296</v>
      </c>
      <c r="B2752" s="153" t="s">
        <v>1499</v>
      </c>
      <c r="C2752" s="392"/>
      <c r="D2752" s="155"/>
      <c r="E2752" s="156"/>
      <c r="F2752" s="157"/>
      <c r="G2752" s="202"/>
    </row>
    <row r="2753" spans="1:10" customFormat="1" ht="15" x14ac:dyDescent="0.25">
      <c r="A2753" s="257"/>
      <c r="B2753" s="158" t="s">
        <v>188</v>
      </c>
      <c r="C2753" s="392">
        <v>1</v>
      </c>
      <c r="D2753" s="155" t="s">
        <v>473</v>
      </c>
      <c r="E2753" s="156">
        <v>300000</v>
      </c>
      <c r="F2753" s="157">
        <f>E2753*C2753</f>
        <v>300000</v>
      </c>
      <c r="G2753" s="202"/>
    </row>
    <row r="2754" spans="1:10" customFormat="1" ht="15.75" thickBot="1" x14ac:dyDescent="0.3">
      <c r="A2754" s="207"/>
      <c r="B2754" s="159" t="s">
        <v>352</v>
      </c>
      <c r="C2754" s="393">
        <v>2</v>
      </c>
      <c r="D2754" s="160" t="s">
        <v>473</v>
      </c>
      <c r="E2754" s="161">
        <v>200000</v>
      </c>
      <c r="F2754" s="162">
        <f>E2754*C2754</f>
        <v>400000</v>
      </c>
      <c r="G2754" s="202"/>
    </row>
    <row r="2755" spans="1:10" customFormat="1" ht="15.75" thickBot="1" x14ac:dyDescent="0.3">
      <c r="A2755" s="207"/>
      <c r="B2755" s="1781" t="s">
        <v>548</v>
      </c>
      <c r="C2755" s="1782"/>
      <c r="D2755" s="1782"/>
      <c r="E2755" s="1783"/>
      <c r="F2755" s="163">
        <f>SUM(F2753:F2754)</f>
        <v>700000</v>
      </c>
      <c r="G2755" s="202"/>
    </row>
    <row r="2756" spans="1:10" customFormat="1" ht="15" x14ac:dyDescent="0.25">
      <c r="A2756" s="391" t="s">
        <v>2297</v>
      </c>
      <c r="B2756" s="394" t="s">
        <v>1488</v>
      </c>
      <c r="C2756" s="210"/>
      <c r="D2756" s="211"/>
      <c r="E2756" s="207"/>
      <c r="F2756" s="164"/>
      <c r="G2756" s="202"/>
    </row>
    <row r="2757" spans="1:10" customFormat="1" ht="15" x14ac:dyDescent="0.25">
      <c r="A2757" s="391"/>
      <c r="B2757" s="395" t="s">
        <v>1489</v>
      </c>
      <c r="C2757" s="205">
        <v>12</v>
      </c>
      <c r="D2757" s="206" t="s">
        <v>419</v>
      </c>
      <c r="E2757" s="175">
        <v>150000</v>
      </c>
      <c r="F2757" s="157">
        <f>E2757*C2757</f>
        <v>1800000</v>
      </c>
      <c r="G2757" s="202"/>
    </row>
    <row r="2758" spans="1:10" customFormat="1" ht="15.75" thickBot="1" x14ac:dyDescent="0.3">
      <c r="A2758" s="391"/>
      <c r="B2758" s="396" t="s">
        <v>1490</v>
      </c>
      <c r="C2758" s="397">
        <v>24</v>
      </c>
      <c r="D2758" s="236" t="s">
        <v>419</v>
      </c>
      <c r="E2758" s="174">
        <v>130000</v>
      </c>
      <c r="F2758" s="162">
        <f>E2758*C2758</f>
        <v>3120000</v>
      </c>
      <c r="G2758" s="202"/>
    </row>
    <row r="2759" spans="1:10" customFormat="1" ht="15.75" thickBot="1" x14ac:dyDescent="0.3">
      <c r="A2759" s="398"/>
      <c r="B2759" s="1784" t="s">
        <v>548</v>
      </c>
      <c r="C2759" s="1785"/>
      <c r="D2759" s="1785"/>
      <c r="E2759" s="1786"/>
      <c r="F2759" s="163">
        <f>SUM(F2757:F2758)</f>
        <v>4920000</v>
      </c>
      <c r="G2759" s="399"/>
    </row>
    <row r="2760" spans="1:10" customFormat="1" ht="15" x14ac:dyDescent="0.25">
      <c r="A2760" s="391" t="s">
        <v>2298</v>
      </c>
      <c r="B2760" s="360" t="s">
        <v>1491</v>
      </c>
      <c r="C2760" s="210"/>
      <c r="D2760" s="211"/>
      <c r="E2760" s="207"/>
      <c r="F2760" s="164"/>
      <c r="G2760" s="202"/>
    </row>
    <row r="2761" spans="1:10" customFormat="1" ht="15" x14ac:dyDescent="0.25">
      <c r="A2761" s="207"/>
      <c r="B2761" s="213" t="s">
        <v>1502</v>
      </c>
      <c r="C2761" s="205">
        <v>99</v>
      </c>
      <c r="D2761" s="206" t="s">
        <v>1495</v>
      </c>
      <c r="E2761" s="215">
        <v>130000</v>
      </c>
      <c r="F2761" s="157">
        <f t="shared" ref="F2761:F2766" si="31">E2761*C2761</f>
        <v>12870000</v>
      </c>
      <c r="G2761" s="202"/>
    </row>
    <row r="2762" spans="1:10" customFormat="1" ht="15" x14ac:dyDescent="0.25">
      <c r="A2762" s="207"/>
      <c r="B2762" s="213" t="s">
        <v>1501</v>
      </c>
      <c r="C2762" s="205">
        <v>15</v>
      </c>
      <c r="D2762" s="206" t="s">
        <v>843</v>
      </c>
      <c r="E2762" s="215">
        <v>380000</v>
      </c>
      <c r="F2762" s="157">
        <f t="shared" si="31"/>
        <v>5700000</v>
      </c>
      <c r="G2762" s="202"/>
    </row>
    <row r="2763" spans="1:10" customFormat="1" ht="15" x14ac:dyDescent="0.25">
      <c r="A2763" s="207"/>
      <c r="B2763" s="158" t="s">
        <v>1493</v>
      </c>
      <c r="C2763" s="392">
        <v>62</v>
      </c>
      <c r="D2763" s="155" t="s">
        <v>159</v>
      </c>
      <c r="E2763" s="156">
        <v>3000</v>
      </c>
      <c r="F2763" s="157">
        <f t="shared" si="31"/>
        <v>186000</v>
      </c>
      <c r="G2763" s="202"/>
    </row>
    <row r="2764" spans="1:10" customFormat="1" ht="15" x14ac:dyDescent="0.25">
      <c r="A2764" s="391"/>
      <c r="B2764" s="158" t="s">
        <v>2484</v>
      </c>
      <c r="C2764" s="392">
        <v>59</v>
      </c>
      <c r="D2764" s="155" t="s">
        <v>110</v>
      </c>
      <c r="E2764" s="156">
        <v>75000</v>
      </c>
      <c r="F2764" s="157">
        <f t="shared" si="31"/>
        <v>4425000</v>
      </c>
      <c r="G2764" s="202"/>
    </row>
    <row r="2765" spans="1:10" customFormat="1" ht="15" x14ac:dyDescent="0.25">
      <c r="A2765" s="400"/>
      <c r="B2765" s="159" t="s">
        <v>1496</v>
      </c>
      <c r="C2765" s="393">
        <v>1</v>
      </c>
      <c r="D2765" s="160" t="s">
        <v>110</v>
      </c>
      <c r="E2765" s="161">
        <v>250000</v>
      </c>
      <c r="F2765" s="162">
        <f t="shared" si="31"/>
        <v>250000</v>
      </c>
      <c r="G2765" s="202"/>
    </row>
    <row r="2766" spans="1:10" customFormat="1" ht="15.75" thickBot="1" x14ac:dyDescent="0.3">
      <c r="A2766" s="257"/>
      <c r="B2766" s="159" t="s">
        <v>1497</v>
      </c>
      <c r="C2766" s="393">
        <v>1</v>
      </c>
      <c r="D2766" s="160" t="s">
        <v>110</v>
      </c>
      <c r="E2766" s="161">
        <v>500000</v>
      </c>
      <c r="F2766" s="162">
        <f t="shared" si="31"/>
        <v>500000</v>
      </c>
      <c r="G2766" s="202"/>
    </row>
    <row r="2767" spans="1:10" customFormat="1" ht="15.75" thickBot="1" x14ac:dyDescent="0.3">
      <c r="A2767" s="210"/>
      <c r="B2767" s="1781" t="s">
        <v>548</v>
      </c>
      <c r="C2767" s="1782"/>
      <c r="D2767" s="1782"/>
      <c r="E2767" s="1783"/>
      <c r="F2767" s="163">
        <f>SUM(F2761:F2766)</f>
        <v>23931000</v>
      </c>
      <c r="G2767" s="399"/>
    </row>
    <row r="2768" spans="1:10" customFormat="1" ht="15.75" thickBot="1" x14ac:dyDescent="0.3">
      <c r="A2768" s="210"/>
      <c r="B2768" s="1781" t="s">
        <v>26</v>
      </c>
      <c r="C2768" s="1782"/>
      <c r="D2768" s="1782"/>
      <c r="E2768" s="1783"/>
      <c r="F2768" s="163">
        <f>F2767+F2759+F2755</f>
        <v>29551000</v>
      </c>
      <c r="G2768" s="399" t="s">
        <v>1711</v>
      </c>
      <c r="J2768" s="172">
        <f>F2768</f>
        <v>29551000</v>
      </c>
    </row>
    <row r="2769" spans="1:7" x14ac:dyDescent="0.2">
      <c r="A2769" s="1762" t="s">
        <v>549</v>
      </c>
      <c r="B2769" s="1762"/>
      <c r="C2769" s="188" t="s">
        <v>27</v>
      </c>
      <c r="D2769" s="1763" t="s">
        <v>1429</v>
      </c>
      <c r="E2769" s="1763"/>
      <c r="F2769" s="1763"/>
      <c r="G2769" s="188"/>
    </row>
    <row r="2770" spans="1:7" x14ac:dyDescent="0.2">
      <c r="A2770" s="1762" t="s">
        <v>28</v>
      </c>
      <c r="B2770" s="1762"/>
      <c r="C2770" s="188"/>
      <c r="D2770" s="1764" t="s">
        <v>2833</v>
      </c>
      <c r="E2770" s="1764"/>
      <c r="F2770" s="1764"/>
      <c r="G2770" s="188"/>
    </row>
    <row r="2771" spans="1:7" x14ac:dyDescent="0.2">
      <c r="A2771" s="186"/>
      <c r="B2771" s="187"/>
      <c r="C2771" s="188"/>
      <c r="D2771" s="189"/>
      <c r="E2771" s="218"/>
      <c r="F2771" s="218"/>
      <c r="G2771" s="188"/>
    </row>
    <row r="2772" spans="1:7" x14ac:dyDescent="0.2">
      <c r="A2772" s="186"/>
      <c r="B2772" s="187"/>
      <c r="C2772" s="188"/>
      <c r="D2772" s="189"/>
      <c r="E2772" s="218"/>
      <c r="F2772" s="218"/>
      <c r="G2772" s="188"/>
    </row>
    <row r="2773" spans="1:7" x14ac:dyDescent="0.2">
      <c r="A2773" s="1762"/>
      <c r="B2773" s="1762"/>
      <c r="C2773" s="188"/>
      <c r="D2773" s="189"/>
      <c r="E2773" s="1762"/>
      <c r="F2773" s="1762"/>
      <c r="G2773" s="188"/>
    </row>
    <row r="2774" spans="1:7" x14ac:dyDescent="0.2">
      <c r="A2774" s="1762" t="s">
        <v>29</v>
      </c>
      <c r="B2774" s="1762"/>
      <c r="C2774" s="188"/>
      <c r="D2774" s="1762" t="s">
        <v>2954</v>
      </c>
      <c r="E2774" s="1762"/>
      <c r="F2774" s="1762"/>
      <c r="G2774" s="188"/>
    </row>
    <row r="2775" spans="1:7" customFormat="1" ht="15" x14ac:dyDescent="0.25">
      <c r="A2775" s="189"/>
      <c r="B2775" s="609"/>
      <c r="C2775" s="609"/>
      <c r="D2775" s="609"/>
      <c r="E2775" s="609"/>
      <c r="F2775" s="607">
        <f>J2768+J2727</f>
        <v>32754200</v>
      </c>
      <c r="G2775" s="184"/>
    </row>
    <row r="2776" spans="1:7" customFormat="1" ht="15" x14ac:dyDescent="0.25">
      <c r="A2776" s="189"/>
      <c r="B2776" s="609"/>
      <c r="C2776" s="609"/>
      <c r="D2776" s="609"/>
      <c r="E2776" s="609"/>
      <c r="F2776" s="607"/>
      <c r="G2776" s="184"/>
    </row>
    <row r="2777" spans="1:7" x14ac:dyDescent="0.2">
      <c r="A2777" s="619"/>
      <c r="B2777" s="619"/>
      <c r="C2777" s="619"/>
      <c r="E2777" s="619"/>
    </row>
    <row r="2778" spans="1:7" x14ac:dyDescent="0.2">
      <c r="A2778" s="2016" t="s">
        <v>1506</v>
      </c>
      <c r="B2778" s="2016"/>
      <c r="C2778" s="2016"/>
      <c r="D2778" s="2016"/>
      <c r="E2778" s="2016"/>
      <c r="F2778" s="2016"/>
      <c r="G2778" s="2016"/>
    </row>
    <row r="2779" spans="1:7" x14ac:dyDescent="0.2">
      <c r="A2779" s="1765" t="s">
        <v>1</v>
      </c>
      <c r="B2779" s="1765"/>
      <c r="C2779" s="1765"/>
      <c r="D2779" s="1765"/>
      <c r="E2779" s="1765"/>
      <c r="F2779" s="1765"/>
      <c r="G2779" s="1765"/>
    </row>
    <row r="2780" spans="1:7" x14ac:dyDescent="0.2">
      <c r="A2780" s="1765" t="s">
        <v>1769</v>
      </c>
      <c r="B2780" s="1765"/>
      <c r="C2780" s="1765"/>
      <c r="D2780" s="1765"/>
      <c r="E2780" s="1765"/>
      <c r="F2780" s="1765"/>
      <c r="G2780" s="1765"/>
    </row>
    <row r="2781" spans="1:7" x14ac:dyDescent="0.2">
      <c r="A2781" s="192"/>
      <c r="B2781" s="232"/>
      <c r="C2781" s="189"/>
      <c r="D2781" s="189"/>
      <c r="E2781" s="620"/>
      <c r="F2781" s="621"/>
      <c r="G2781" s="187"/>
    </row>
    <row r="2782" spans="1:7" ht="24" x14ac:dyDescent="0.2">
      <c r="A2782" s="192" t="s">
        <v>524</v>
      </c>
      <c r="B2782" s="221" t="s">
        <v>689</v>
      </c>
      <c r="C2782" s="189"/>
      <c r="D2782" s="189"/>
      <c r="E2782" s="622" t="s">
        <v>6</v>
      </c>
      <c r="F2782" s="620"/>
      <c r="G2782" s="458"/>
    </row>
    <row r="2783" spans="1:7" x14ac:dyDescent="0.2">
      <c r="A2783" s="192" t="s">
        <v>887</v>
      </c>
      <c r="B2783" s="221" t="s">
        <v>886</v>
      </c>
      <c r="C2783" s="189"/>
      <c r="D2783" s="189"/>
      <c r="E2783" s="558" t="s">
        <v>9</v>
      </c>
      <c r="F2783" s="558"/>
      <c r="G2783" s="458"/>
    </row>
    <row r="2784" spans="1:7" ht="24" x14ac:dyDescent="0.2">
      <c r="A2784" s="192" t="s">
        <v>885</v>
      </c>
      <c r="B2784" s="232" t="s">
        <v>884</v>
      </c>
      <c r="C2784" s="232"/>
      <c r="D2784" s="189"/>
      <c r="E2784" s="621"/>
      <c r="F2784" s="620"/>
      <c r="G2784" s="458"/>
    </row>
    <row r="2785" spans="1:20" ht="24" x14ac:dyDescent="0.2">
      <c r="A2785" s="232" t="s">
        <v>502</v>
      </c>
      <c r="B2785" s="232" t="s">
        <v>61</v>
      </c>
      <c r="C2785" s="189"/>
      <c r="D2785" s="189"/>
      <c r="E2785" s="620"/>
      <c r="F2785" s="620"/>
      <c r="G2785" s="458"/>
    </row>
    <row r="2786" spans="1:20" x14ac:dyDescent="0.2">
      <c r="A2786" s="189"/>
      <c r="B2786" s="232"/>
      <c r="C2786" s="189"/>
      <c r="D2786" s="189"/>
      <c r="E2786" s="621"/>
      <c r="F2786" s="621"/>
      <c r="G2786" s="187"/>
    </row>
    <row r="2787" spans="1:20" ht="24" x14ac:dyDescent="0.2">
      <c r="A2787" s="599" t="s">
        <v>575</v>
      </c>
      <c r="B2787" s="435" t="s">
        <v>11</v>
      </c>
      <c r="C2787" s="1766" t="s">
        <v>12</v>
      </c>
      <c r="D2787" s="1766"/>
      <c r="E2787" s="267" t="s">
        <v>13</v>
      </c>
      <c r="F2787" s="198" t="s">
        <v>14</v>
      </c>
      <c r="G2787" s="461" t="s">
        <v>266</v>
      </c>
    </row>
    <row r="2788" spans="1:20" x14ac:dyDescent="0.2">
      <c r="A2788" s="197">
        <v>1</v>
      </c>
      <c r="B2788" s="198">
        <v>2</v>
      </c>
      <c r="C2788" s="1773">
        <v>3</v>
      </c>
      <c r="D2788" s="1774"/>
      <c r="E2788" s="2">
        <v>4</v>
      </c>
      <c r="F2788" s="205">
        <v>5</v>
      </c>
      <c r="G2788" s="448"/>
    </row>
    <row r="2789" spans="1:20" x14ac:dyDescent="0.2">
      <c r="A2789" s="391" t="s">
        <v>883</v>
      </c>
      <c r="B2789" s="623" t="s">
        <v>746</v>
      </c>
      <c r="C2789" s="419"/>
      <c r="D2789" s="420"/>
      <c r="E2789" s="624"/>
      <c r="F2789" s="625"/>
      <c r="G2789" s="463"/>
    </row>
    <row r="2790" spans="1:20" ht="24" x14ac:dyDescent="0.2">
      <c r="A2790" s="391" t="s">
        <v>882</v>
      </c>
      <c r="B2790" s="623" t="s">
        <v>86</v>
      </c>
      <c r="C2790" s="419"/>
      <c r="D2790" s="420"/>
      <c r="E2790" s="624"/>
      <c r="F2790" s="625"/>
      <c r="G2790" s="463"/>
    </row>
    <row r="2791" spans="1:20" ht="48" x14ac:dyDescent="0.2">
      <c r="A2791" s="591" t="s">
        <v>881</v>
      </c>
      <c r="B2791" s="533" t="s">
        <v>2007</v>
      </c>
      <c r="C2791" s="626"/>
      <c r="D2791" s="627"/>
      <c r="E2791" s="628"/>
      <c r="F2791" s="591"/>
      <c r="G2791" s="463"/>
    </row>
    <row r="2792" spans="1:20" ht="24" x14ac:dyDescent="0.2">
      <c r="A2792" s="391"/>
      <c r="B2792" s="629" t="s">
        <v>1450</v>
      </c>
      <c r="C2792" s="205">
        <v>6</v>
      </c>
      <c r="D2792" s="206" t="s">
        <v>127</v>
      </c>
      <c r="E2792" s="630">
        <v>500000</v>
      </c>
      <c r="F2792" s="631">
        <f>C2792*E2792</f>
        <v>3000000</v>
      </c>
      <c r="G2792" s="213" t="s">
        <v>2570</v>
      </c>
      <c r="S2792" s="637"/>
      <c r="T2792" s="637">
        <f>F2792</f>
        <v>3000000</v>
      </c>
    </row>
    <row r="2793" spans="1:20" x14ac:dyDescent="0.2">
      <c r="A2793" s="391"/>
      <c r="B2793" s="629" t="s">
        <v>1450</v>
      </c>
      <c r="C2793" s="205">
        <v>6</v>
      </c>
      <c r="D2793" s="206" t="s">
        <v>127</v>
      </c>
      <c r="E2793" s="630">
        <v>500000</v>
      </c>
      <c r="F2793" s="631">
        <f>C2793*E2793</f>
        <v>3000000</v>
      </c>
      <c r="G2793" s="213" t="s">
        <v>1409</v>
      </c>
      <c r="K2793" s="637">
        <f>F2793</f>
        <v>3000000</v>
      </c>
    </row>
    <row r="2794" spans="1:20" x14ac:dyDescent="0.2">
      <c r="A2794" s="391"/>
      <c r="B2794" s="629" t="s">
        <v>2008</v>
      </c>
      <c r="C2794" s="205">
        <f>2*9</f>
        <v>18</v>
      </c>
      <c r="D2794" s="206" t="s">
        <v>127</v>
      </c>
      <c r="E2794" s="630">
        <v>4200000</v>
      </c>
      <c r="F2794" s="631">
        <f>C2794*E2794</f>
        <v>75600000</v>
      </c>
      <c r="G2794" s="213" t="s">
        <v>1409</v>
      </c>
      <c r="K2794" s="637">
        <f>F2794</f>
        <v>75600000</v>
      </c>
    </row>
    <row r="2795" spans="1:20" ht="24" x14ac:dyDescent="0.2">
      <c r="A2795" s="391"/>
      <c r="B2795" s="629" t="s">
        <v>2009</v>
      </c>
      <c r="C2795" s="205">
        <f>2*3</f>
        <v>6</v>
      </c>
      <c r="D2795" s="206" t="s">
        <v>127</v>
      </c>
      <c r="E2795" s="630">
        <v>4200000</v>
      </c>
      <c r="F2795" s="631">
        <f>C2795*E2795</f>
        <v>25200000</v>
      </c>
      <c r="G2795" s="213" t="s">
        <v>2570</v>
      </c>
      <c r="T2795" s="637">
        <f>F2795</f>
        <v>25200000</v>
      </c>
    </row>
    <row r="2796" spans="1:20" x14ac:dyDescent="0.2">
      <c r="A2796" s="391"/>
      <c r="B2796" s="629" t="s">
        <v>2010</v>
      </c>
      <c r="C2796" s="205">
        <v>1</v>
      </c>
      <c r="D2796" s="206" t="s">
        <v>219</v>
      </c>
      <c r="E2796" s="630">
        <v>3000000</v>
      </c>
      <c r="F2796" s="631">
        <f>C2796*E2796</f>
        <v>3000000</v>
      </c>
      <c r="G2796" s="213" t="s">
        <v>1409</v>
      </c>
      <c r="K2796" s="637">
        <f>F2796</f>
        <v>3000000</v>
      </c>
    </row>
    <row r="2797" spans="1:20" ht="24" x14ac:dyDescent="0.2">
      <c r="A2797" s="391" t="s">
        <v>880</v>
      </c>
      <c r="B2797" s="632" t="s">
        <v>344</v>
      </c>
      <c r="C2797" s="419"/>
      <c r="D2797" s="420"/>
      <c r="E2797" s="624"/>
      <c r="F2797" s="631"/>
      <c r="G2797" s="463"/>
    </row>
    <row r="2798" spans="1:20" x14ac:dyDescent="0.2">
      <c r="A2798" s="212"/>
      <c r="B2798" s="238" t="s">
        <v>2011</v>
      </c>
      <c r="C2798" s="205">
        <v>8000</v>
      </c>
      <c r="D2798" s="206" t="s">
        <v>276</v>
      </c>
      <c r="E2798" s="633">
        <v>250</v>
      </c>
      <c r="F2798" s="631">
        <f>C2798*E2798</f>
        <v>2000000</v>
      </c>
      <c r="G2798" s="213" t="s">
        <v>1409</v>
      </c>
      <c r="K2798" s="637">
        <f>F2798</f>
        <v>2000000</v>
      </c>
    </row>
    <row r="2799" spans="1:20" x14ac:dyDescent="0.2">
      <c r="A2799" s="212"/>
      <c r="B2799" s="465" t="s">
        <v>878</v>
      </c>
      <c r="C2799" s="205">
        <v>12</v>
      </c>
      <c r="D2799" s="206" t="s">
        <v>178</v>
      </c>
      <c r="E2799" s="634">
        <v>400000</v>
      </c>
      <c r="F2799" s="631">
        <f>C2799*E2799</f>
        <v>4800000</v>
      </c>
      <c r="G2799" s="213" t="s">
        <v>1409</v>
      </c>
      <c r="K2799" s="637">
        <f>F2799</f>
        <v>4800000</v>
      </c>
    </row>
    <row r="2800" spans="1:20" ht="24" x14ac:dyDescent="0.2">
      <c r="A2800" s="212"/>
      <c r="B2800" s="465" t="s">
        <v>877</v>
      </c>
      <c r="C2800" s="205">
        <v>1</v>
      </c>
      <c r="D2800" s="206" t="s">
        <v>110</v>
      </c>
      <c r="E2800" s="634">
        <v>150000</v>
      </c>
      <c r="F2800" s="631">
        <f>C2800*E2800</f>
        <v>150000</v>
      </c>
      <c r="G2800" s="213" t="s">
        <v>1409</v>
      </c>
      <c r="K2800" s="637">
        <f>F2800</f>
        <v>150000</v>
      </c>
    </row>
    <row r="2801" spans="1:20" x14ac:dyDescent="0.2">
      <c r="A2801" s="391" t="s">
        <v>876</v>
      </c>
      <c r="B2801" s="635" t="s">
        <v>875</v>
      </c>
      <c r="C2801" s="205"/>
      <c r="D2801" s="206"/>
      <c r="E2801" s="630"/>
      <c r="F2801" s="631"/>
      <c r="G2801" s="213"/>
    </row>
    <row r="2802" spans="1:20" ht="24" x14ac:dyDescent="0.2">
      <c r="A2802" s="391"/>
      <c r="B2802" s="636" t="s">
        <v>2012</v>
      </c>
      <c r="C2802" s="205">
        <v>365</v>
      </c>
      <c r="D2802" s="206" t="s">
        <v>874</v>
      </c>
      <c r="E2802" s="630">
        <v>7000</v>
      </c>
      <c r="F2802" s="631">
        <f t="shared" ref="F2802:F2812" si="32">C2802*E2802</f>
        <v>2555000</v>
      </c>
      <c r="G2802" s="213" t="s">
        <v>1409</v>
      </c>
      <c r="J2802" s="637"/>
      <c r="K2802" s="637">
        <f>F2802</f>
        <v>2555000</v>
      </c>
    </row>
    <row r="2803" spans="1:20" ht="24" x14ac:dyDescent="0.2">
      <c r="A2803" s="391"/>
      <c r="B2803" s="636" t="s">
        <v>2013</v>
      </c>
      <c r="C2803" s="205">
        <v>288</v>
      </c>
      <c r="D2803" s="206" t="s">
        <v>874</v>
      </c>
      <c r="E2803" s="630">
        <v>220000</v>
      </c>
      <c r="F2803" s="631">
        <f t="shared" si="32"/>
        <v>63360000</v>
      </c>
      <c r="G2803" s="213" t="s">
        <v>1417</v>
      </c>
      <c r="Q2803" s="637">
        <f>F2803</f>
        <v>63360000</v>
      </c>
    </row>
    <row r="2804" spans="1:20" x14ac:dyDescent="0.2">
      <c r="A2804" s="391"/>
      <c r="B2804" s="636" t="s">
        <v>2014</v>
      </c>
      <c r="C2804" s="205">
        <v>12</v>
      </c>
      <c r="D2804" s="206" t="s">
        <v>127</v>
      </c>
      <c r="E2804" s="630">
        <v>100000</v>
      </c>
      <c r="F2804" s="631">
        <f t="shared" si="32"/>
        <v>1200000</v>
      </c>
      <c r="G2804" s="213" t="s">
        <v>1409</v>
      </c>
      <c r="K2804" s="637">
        <f>F2804</f>
        <v>1200000</v>
      </c>
    </row>
    <row r="2805" spans="1:20" ht="24" x14ac:dyDescent="0.2">
      <c r="A2805" s="212"/>
      <c r="B2805" s="465" t="s">
        <v>873</v>
      </c>
      <c r="C2805" s="205">
        <v>4</v>
      </c>
      <c r="D2805" s="206" t="s">
        <v>110</v>
      </c>
      <c r="E2805" s="630">
        <v>160000</v>
      </c>
      <c r="F2805" s="631">
        <f t="shared" si="32"/>
        <v>640000</v>
      </c>
      <c r="G2805" s="213" t="s">
        <v>2570</v>
      </c>
      <c r="K2805" s="637"/>
      <c r="T2805" s="637">
        <f>F2805</f>
        <v>640000</v>
      </c>
    </row>
    <row r="2806" spans="1:20" ht="24" x14ac:dyDescent="0.2">
      <c r="A2806" s="212"/>
      <c r="B2806" s="465" t="s">
        <v>119</v>
      </c>
      <c r="C2806" s="205">
        <v>6</v>
      </c>
      <c r="D2806" s="206" t="s">
        <v>110</v>
      </c>
      <c r="E2806" s="630">
        <v>9000</v>
      </c>
      <c r="F2806" s="631">
        <f t="shared" si="32"/>
        <v>54000</v>
      </c>
      <c r="G2806" s="213" t="s">
        <v>2570</v>
      </c>
      <c r="K2806" s="637"/>
      <c r="T2806" s="637">
        <f>F2806</f>
        <v>54000</v>
      </c>
    </row>
    <row r="2807" spans="1:20" ht="15" customHeight="1" x14ac:dyDescent="0.2">
      <c r="A2807" s="229"/>
      <c r="B2807" s="638" t="s">
        <v>2015</v>
      </c>
      <c r="C2807" s="205">
        <v>10</v>
      </c>
      <c r="D2807" s="206" t="s">
        <v>178</v>
      </c>
      <c r="E2807" s="639">
        <v>250000</v>
      </c>
      <c r="F2807" s="631">
        <f t="shared" si="32"/>
        <v>2500000</v>
      </c>
      <c r="G2807" s="213" t="s">
        <v>1409</v>
      </c>
      <c r="J2807" s="637"/>
      <c r="K2807" s="637">
        <f t="shared" ref="K2807:K2812" si="33">F2807</f>
        <v>2500000</v>
      </c>
    </row>
    <row r="2808" spans="1:20" x14ac:dyDescent="0.2">
      <c r="A2808" s="229"/>
      <c r="B2808" s="638" t="s">
        <v>819</v>
      </c>
      <c r="C2808" s="205">
        <v>10</v>
      </c>
      <c r="D2808" s="206" t="s">
        <v>95</v>
      </c>
      <c r="E2808" s="639">
        <v>150000</v>
      </c>
      <c r="F2808" s="631">
        <f t="shared" si="32"/>
        <v>1500000</v>
      </c>
      <c r="G2808" s="213" t="s">
        <v>1409</v>
      </c>
      <c r="K2808" s="637">
        <f t="shared" si="33"/>
        <v>1500000</v>
      </c>
    </row>
    <row r="2809" spans="1:20" x14ac:dyDescent="0.2">
      <c r="A2809" s="229"/>
      <c r="B2809" s="638" t="s">
        <v>2016</v>
      </c>
      <c r="C2809" s="205">
        <v>1</v>
      </c>
      <c r="D2809" s="206" t="s">
        <v>178</v>
      </c>
      <c r="E2809" s="639">
        <v>3000000</v>
      </c>
      <c r="F2809" s="631">
        <f t="shared" si="32"/>
        <v>3000000</v>
      </c>
      <c r="G2809" s="213" t="s">
        <v>1409</v>
      </c>
      <c r="K2809" s="637">
        <f t="shared" si="33"/>
        <v>3000000</v>
      </c>
    </row>
    <row r="2810" spans="1:20" x14ac:dyDescent="0.2">
      <c r="A2810" s="229"/>
      <c r="B2810" s="638" t="s">
        <v>1993</v>
      </c>
      <c r="C2810" s="205">
        <v>10</v>
      </c>
      <c r="D2810" s="206" t="s">
        <v>95</v>
      </c>
      <c r="E2810" s="639">
        <v>161000</v>
      </c>
      <c r="F2810" s="631">
        <f t="shared" si="32"/>
        <v>1610000</v>
      </c>
      <c r="G2810" s="213" t="s">
        <v>1409</v>
      </c>
      <c r="K2810" s="637">
        <f t="shared" si="33"/>
        <v>1610000</v>
      </c>
    </row>
    <row r="2811" spans="1:20" ht="24" x14ac:dyDescent="0.2">
      <c r="A2811" s="229"/>
      <c r="B2811" s="638" t="s">
        <v>872</v>
      </c>
      <c r="C2811" s="205">
        <v>10</v>
      </c>
      <c r="D2811" s="206" t="s">
        <v>95</v>
      </c>
      <c r="E2811" s="639">
        <v>200000</v>
      </c>
      <c r="F2811" s="631">
        <f t="shared" si="32"/>
        <v>2000000</v>
      </c>
      <c r="G2811" s="213" t="s">
        <v>1409</v>
      </c>
      <c r="K2811" s="637">
        <f t="shared" si="33"/>
        <v>2000000</v>
      </c>
    </row>
    <row r="2812" spans="1:20" x14ac:dyDescent="0.2">
      <c r="A2812" s="229"/>
      <c r="B2812" s="638" t="s">
        <v>871</v>
      </c>
      <c r="C2812" s="205">
        <v>10</v>
      </c>
      <c r="D2812" s="206" t="s">
        <v>870</v>
      </c>
      <c r="E2812" s="639">
        <v>35000</v>
      </c>
      <c r="F2812" s="631">
        <f t="shared" si="32"/>
        <v>350000</v>
      </c>
      <c r="G2812" s="213" t="s">
        <v>1409</v>
      </c>
      <c r="K2812" s="637">
        <f t="shared" si="33"/>
        <v>350000</v>
      </c>
    </row>
    <row r="2813" spans="1:20" ht="24" x14ac:dyDescent="0.2">
      <c r="A2813" s="391" t="s">
        <v>869</v>
      </c>
      <c r="B2813" s="640" t="s">
        <v>868</v>
      </c>
      <c r="C2813" s="205"/>
      <c r="D2813" s="206"/>
      <c r="E2813" s="630"/>
      <c r="F2813" s="631"/>
      <c r="G2813" s="213"/>
    </row>
    <row r="2814" spans="1:20" x14ac:dyDescent="0.2">
      <c r="A2814" s="212"/>
      <c r="B2814" s="638" t="s">
        <v>867</v>
      </c>
      <c r="C2814" s="205"/>
      <c r="D2814" s="206"/>
      <c r="E2814" s="630"/>
      <c r="F2814" s="631"/>
      <c r="G2814" s="213"/>
    </row>
    <row r="2815" spans="1:20" x14ac:dyDescent="0.2">
      <c r="A2815" s="212"/>
      <c r="B2815" s="629" t="s">
        <v>1746</v>
      </c>
      <c r="C2815" s="205">
        <v>365</v>
      </c>
      <c r="D2815" s="206" t="s">
        <v>647</v>
      </c>
      <c r="E2815" s="641">
        <v>15000</v>
      </c>
      <c r="F2815" s="631">
        <f t="shared" ref="F2815:F2821" si="34">C2815*E2815</f>
        <v>5475000</v>
      </c>
      <c r="G2815" s="213" t="s">
        <v>1409</v>
      </c>
      <c r="K2815" s="637">
        <f>F2815</f>
        <v>5475000</v>
      </c>
    </row>
    <row r="2816" spans="1:20" ht="24" x14ac:dyDescent="0.2">
      <c r="A2816" s="212"/>
      <c r="B2816" s="629" t="s">
        <v>2017</v>
      </c>
      <c r="C2816" s="205">
        <v>24</v>
      </c>
      <c r="D2816" s="206" t="s">
        <v>297</v>
      </c>
      <c r="E2816" s="641">
        <v>50000</v>
      </c>
      <c r="F2816" s="631">
        <f t="shared" si="34"/>
        <v>1200000</v>
      </c>
      <c r="G2816" s="213" t="s">
        <v>1409</v>
      </c>
      <c r="K2816" s="637">
        <f t="shared" ref="K2816:K2821" si="35">F2816</f>
        <v>1200000</v>
      </c>
    </row>
    <row r="2817" spans="1:20" x14ac:dyDescent="0.2">
      <c r="A2817" s="212"/>
      <c r="B2817" s="629" t="s">
        <v>2018</v>
      </c>
      <c r="C2817" s="205">
        <v>2</v>
      </c>
      <c r="D2817" s="206" t="s">
        <v>297</v>
      </c>
      <c r="E2817" s="641">
        <v>115000</v>
      </c>
      <c r="F2817" s="631">
        <f t="shared" si="34"/>
        <v>230000</v>
      </c>
      <c r="G2817" s="213" t="s">
        <v>1409</v>
      </c>
      <c r="K2817" s="637">
        <f t="shared" si="35"/>
        <v>230000</v>
      </c>
    </row>
    <row r="2818" spans="1:20" x14ac:dyDescent="0.2">
      <c r="A2818" s="212"/>
      <c r="B2818" s="629" t="s">
        <v>2019</v>
      </c>
      <c r="C2818" s="205">
        <v>2</v>
      </c>
      <c r="D2818" s="206" t="s">
        <v>297</v>
      </c>
      <c r="E2818" s="641">
        <v>115000</v>
      </c>
      <c r="F2818" s="631">
        <f t="shared" si="34"/>
        <v>230000</v>
      </c>
      <c r="G2818" s="213" t="s">
        <v>1409</v>
      </c>
      <c r="K2818" s="637">
        <f t="shared" si="35"/>
        <v>230000</v>
      </c>
    </row>
    <row r="2819" spans="1:20" x14ac:dyDescent="0.2">
      <c r="A2819" s="212"/>
      <c r="B2819" s="629" t="s">
        <v>2020</v>
      </c>
      <c r="C2819" s="205">
        <v>2</v>
      </c>
      <c r="D2819" s="206" t="s">
        <v>297</v>
      </c>
      <c r="E2819" s="641">
        <v>215000</v>
      </c>
      <c r="F2819" s="631">
        <f t="shared" si="34"/>
        <v>430000</v>
      </c>
      <c r="G2819" s="213" t="s">
        <v>1409</v>
      </c>
      <c r="K2819" s="637">
        <f t="shared" si="35"/>
        <v>430000</v>
      </c>
    </row>
    <row r="2820" spans="1:20" x14ac:dyDescent="0.2">
      <c r="A2820" s="212"/>
      <c r="B2820" s="629" t="s">
        <v>2021</v>
      </c>
      <c r="C2820" s="205">
        <v>2</v>
      </c>
      <c r="D2820" s="206" t="s">
        <v>297</v>
      </c>
      <c r="E2820" s="641">
        <v>265000</v>
      </c>
      <c r="F2820" s="631">
        <f t="shared" si="34"/>
        <v>530000</v>
      </c>
      <c r="G2820" s="213" t="s">
        <v>1409</v>
      </c>
      <c r="K2820" s="637">
        <f t="shared" si="35"/>
        <v>530000</v>
      </c>
    </row>
    <row r="2821" spans="1:20" ht="24" x14ac:dyDescent="0.2">
      <c r="A2821" s="212"/>
      <c r="B2821" s="629" t="s">
        <v>2022</v>
      </c>
      <c r="C2821" s="205">
        <v>1</v>
      </c>
      <c r="D2821" s="206" t="s">
        <v>178</v>
      </c>
      <c r="E2821" s="641">
        <v>1800000</v>
      </c>
      <c r="F2821" s="631">
        <f t="shared" si="34"/>
        <v>1800000</v>
      </c>
      <c r="G2821" s="213" t="s">
        <v>1409</v>
      </c>
      <c r="K2821" s="637">
        <f t="shared" si="35"/>
        <v>1800000</v>
      </c>
    </row>
    <row r="2822" spans="1:20" x14ac:dyDescent="0.2">
      <c r="A2822" s="391" t="s">
        <v>866</v>
      </c>
      <c r="B2822" s="635" t="s">
        <v>511</v>
      </c>
      <c r="C2822" s="205"/>
      <c r="D2822" s="206"/>
      <c r="E2822" s="630"/>
      <c r="F2822" s="631"/>
      <c r="G2822" s="213"/>
    </row>
    <row r="2823" spans="1:20" ht="24" x14ac:dyDescent="0.2">
      <c r="A2823" s="391" t="s">
        <v>865</v>
      </c>
      <c r="B2823" s="635" t="s">
        <v>864</v>
      </c>
      <c r="C2823" s="205"/>
      <c r="D2823" s="206"/>
      <c r="E2823" s="630"/>
      <c r="F2823" s="631"/>
      <c r="G2823" s="213"/>
    </row>
    <row r="2824" spans="1:20" ht="24" x14ac:dyDescent="0.2">
      <c r="A2824" s="212"/>
      <c r="B2824" s="638" t="s">
        <v>2023</v>
      </c>
      <c r="C2824" s="205">
        <f>2*3</f>
        <v>6</v>
      </c>
      <c r="D2824" s="206" t="s">
        <v>21</v>
      </c>
      <c r="E2824" s="630">
        <v>1900000</v>
      </c>
      <c r="F2824" s="631">
        <f t="shared" ref="F2824:F2829" si="36">C2824*E2824</f>
        <v>11400000</v>
      </c>
      <c r="G2824" s="213" t="s">
        <v>2570</v>
      </c>
      <c r="T2824" s="637">
        <f>F2824</f>
        <v>11400000</v>
      </c>
    </row>
    <row r="2825" spans="1:20" ht="24" x14ac:dyDescent="0.2">
      <c r="A2825" s="212"/>
      <c r="B2825" s="638" t="s">
        <v>2024</v>
      </c>
      <c r="C2825" s="205">
        <f>2*9</f>
        <v>18</v>
      </c>
      <c r="D2825" s="206" t="s">
        <v>21</v>
      </c>
      <c r="E2825" s="630">
        <v>1900000</v>
      </c>
      <c r="F2825" s="631">
        <f t="shared" si="36"/>
        <v>34200000</v>
      </c>
      <c r="G2825" s="213" t="s">
        <v>1409</v>
      </c>
      <c r="K2825" s="637">
        <f>F2825</f>
        <v>34200000</v>
      </c>
    </row>
    <row r="2826" spans="1:20" ht="24" x14ac:dyDescent="0.2">
      <c r="A2826" s="212"/>
      <c r="B2826" s="638" t="s">
        <v>2025</v>
      </c>
      <c r="C2826" s="205">
        <f>6*3</f>
        <v>18</v>
      </c>
      <c r="D2826" s="206" t="s">
        <v>21</v>
      </c>
      <c r="E2826" s="630">
        <v>1800000</v>
      </c>
      <c r="F2826" s="631">
        <f t="shared" si="36"/>
        <v>32400000</v>
      </c>
      <c r="G2826" s="213" t="s">
        <v>2570</v>
      </c>
      <c r="T2826" s="637">
        <f>F2826</f>
        <v>32400000</v>
      </c>
    </row>
    <row r="2827" spans="1:20" ht="24" x14ac:dyDescent="0.2">
      <c r="A2827" s="212"/>
      <c r="B2827" s="638" t="s">
        <v>2026</v>
      </c>
      <c r="C2827" s="205">
        <f>6*9</f>
        <v>54</v>
      </c>
      <c r="D2827" s="206" t="s">
        <v>21</v>
      </c>
      <c r="E2827" s="630">
        <v>1800000</v>
      </c>
      <c r="F2827" s="631">
        <f t="shared" si="36"/>
        <v>97200000</v>
      </c>
      <c r="G2827" s="213" t="s">
        <v>1409</v>
      </c>
      <c r="K2827" s="637">
        <f>F2827</f>
        <v>97200000</v>
      </c>
    </row>
    <row r="2828" spans="1:20" ht="24" x14ac:dyDescent="0.2">
      <c r="A2828" s="212"/>
      <c r="B2828" s="638" t="s">
        <v>2027</v>
      </c>
      <c r="C2828" s="205">
        <f>2*3</f>
        <v>6</v>
      </c>
      <c r="D2828" s="206" t="s">
        <v>21</v>
      </c>
      <c r="E2828" s="630">
        <v>1800000</v>
      </c>
      <c r="F2828" s="631">
        <f t="shared" si="36"/>
        <v>10800000</v>
      </c>
      <c r="G2828" s="213" t="s">
        <v>2570</v>
      </c>
      <c r="T2828" s="637">
        <f>F2828</f>
        <v>10800000</v>
      </c>
    </row>
    <row r="2829" spans="1:20" ht="24" x14ac:dyDescent="0.2">
      <c r="A2829" s="212"/>
      <c r="B2829" s="638" t="s">
        <v>2028</v>
      </c>
      <c r="C2829" s="205">
        <f>2*9</f>
        <v>18</v>
      </c>
      <c r="D2829" s="206" t="s">
        <v>21</v>
      </c>
      <c r="E2829" s="630">
        <v>1800000</v>
      </c>
      <c r="F2829" s="631">
        <f t="shared" si="36"/>
        <v>32400000</v>
      </c>
      <c r="G2829" s="213" t="s">
        <v>1409</v>
      </c>
      <c r="K2829" s="637">
        <f>F2829</f>
        <v>32400000</v>
      </c>
    </row>
    <row r="2830" spans="1:20" ht="24" x14ac:dyDescent="0.2">
      <c r="A2830" s="212" t="s">
        <v>863</v>
      </c>
      <c r="B2830" s="635" t="s">
        <v>2029</v>
      </c>
      <c r="C2830" s="205"/>
      <c r="D2830" s="206"/>
      <c r="E2830" s="630"/>
      <c r="F2830" s="631"/>
      <c r="G2830" s="213"/>
    </row>
    <row r="2831" spans="1:20" ht="24" x14ac:dyDescent="0.2">
      <c r="A2831" s="212" t="s">
        <v>861</v>
      </c>
      <c r="B2831" s="635" t="s">
        <v>860</v>
      </c>
      <c r="C2831" s="205"/>
      <c r="D2831" s="206"/>
      <c r="E2831" s="630"/>
      <c r="F2831" s="631"/>
      <c r="G2831" s="213"/>
    </row>
    <row r="2832" spans="1:20" x14ac:dyDescent="0.2">
      <c r="A2832" s="212"/>
      <c r="B2832" s="535" t="s">
        <v>2030</v>
      </c>
      <c r="C2832" s="205">
        <v>2</v>
      </c>
      <c r="D2832" s="206" t="s">
        <v>131</v>
      </c>
      <c r="E2832" s="641">
        <v>5700000</v>
      </c>
      <c r="F2832" s="631">
        <f>C2832*E2832</f>
        <v>11400000</v>
      </c>
      <c r="G2832" s="213" t="s">
        <v>1845</v>
      </c>
      <c r="K2832" s="637">
        <f>F2832</f>
        <v>11400000</v>
      </c>
      <c r="L2832" s="637"/>
    </row>
    <row r="2833" spans="1:11" x14ac:dyDescent="0.2">
      <c r="A2833" s="212"/>
      <c r="B2833" s="535" t="s">
        <v>2031</v>
      </c>
      <c r="C2833" s="205">
        <v>6</v>
      </c>
      <c r="D2833" s="206" t="s">
        <v>131</v>
      </c>
      <c r="E2833" s="641">
        <v>500000</v>
      </c>
      <c r="F2833" s="631">
        <f>C2833*E2833</f>
        <v>3000000</v>
      </c>
      <c r="G2833" s="213" t="s">
        <v>1409</v>
      </c>
      <c r="K2833" s="637">
        <f>F2833</f>
        <v>3000000</v>
      </c>
    </row>
    <row r="2834" spans="1:11" x14ac:dyDescent="0.2">
      <c r="A2834" s="212"/>
      <c r="B2834" s="535" t="s">
        <v>859</v>
      </c>
      <c r="C2834" s="205">
        <v>1</v>
      </c>
      <c r="D2834" s="206" t="s">
        <v>131</v>
      </c>
      <c r="E2834" s="641">
        <v>2735000</v>
      </c>
      <c r="F2834" s="631">
        <f>C2834*E2834</f>
        <v>2735000</v>
      </c>
      <c r="G2834" s="213" t="s">
        <v>1409</v>
      </c>
      <c r="K2834" s="637">
        <f>F2834</f>
        <v>2735000</v>
      </c>
    </row>
    <row r="2835" spans="1:11" x14ac:dyDescent="0.2">
      <c r="A2835" s="212"/>
      <c r="B2835" s="535" t="s">
        <v>858</v>
      </c>
      <c r="C2835" s="205">
        <v>2</v>
      </c>
      <c r="D2835" s="206" t="s">
        <v>131</v>
      </c>
      <c r="E2835" s="641">
        <v>1000000</v>
      </c>
      <c r="F2835" s="631">
        <f>C2835*E2835</f>
        <v>2000000</v>
      </c>
      <c r="G2835" s="213" t="s">
        <v>1409</v>
      </c>
      <c r="K2835" s="637">
        <f>F2835</f>
        <v>2000000</v>
      </c>
    </row>
    <row r="2836" spans="1:11" x14ac:dyDescent="0.2">
      <c r="A2836" s="391" t="s">
        <v>857</v>
      </c>
      <c r="B2836" s="635" t="s">
        <v>215</v>
      </c>
      <c r="C2836" s="205"/>
      <c r="D2836" s="206"/>
      <c r="E2836" s="630"/>
      <c r="F2836" s="631"/>
      <c r="G2836" s="213"/>
    </row>
    <row r="2837" spans="1:11" ht="36" x14ac:dyDescent="0.2">
      <c r="A2837" s="391" t="s">
        <v>856</v>
      </c>
      <c r="B2837" s="635" t="s">
        <v>855</v>
      </c>
      <c r="C2837" s="205"/>
      <c r="D2837" s="206"/>
      <c r="E2837" s="630"/>
      <c r="F2837" s="631"/>
      <c r="G2837" s="213"/>
    </row>
    <row r="2838" spans="1:11" ht="24" x14ac:dyDescent="0.2">
      <c r="A2838" s="391"/>
      <c r="B2838" s="629" t="s">
        <v>854</v>
      </c>
      <c r="C2838" s="205">
        <v>3</v>
      </c>
      <c r="D2838" s="206" t="s">
        <v>115</v>
      </c>
      <c r="E2838" s="630">
        <v>1000000</v>
      </c>
      <c r="F2838" s="631">
        <f>C2838*E2838</f>
        <v>3000000</v>
      </c>
      <c r="G2838" s="213" t="s">
        <v>1409</v>
      </c>
      <c r="K2838" s="637">
        <f>F2838</f>
        <v>3000000</v>
      </c>
    </row>
    <row r="2839" spans="1:11" ht="24" x14ac:dyDescent="0.2">
      <c r="A2839" s="212"/>
      <c r="B2839" s="629" t="s">
        <v>853</v>
      </c>
      <c r="C2839" s="205">
        <v>3</v>
      </c>
      <c r="D2839" s="206" t="s">
        <v>115</v>
      </c>
      <c r="E2839" s="630">
        <v>2000000</v>
      </c>
      <c r="F2839" s="631">
        <f>C2839*E2839</f>
        <v>6000000</v>
      </c>
      <c r="G2839" s="213" t="s">
        <v>1409</v>
      </c>
      <c r="K2839" s="637">
        <f>F2839</f>
        <v>6000000</v>
      </c>
    </row>
    <row r="2840" spans="1:11" ht="24" x14ac:dyDescent="0.2">
      <c r="A2840" s="391" t="s">
        <v>852</v>
      </c>
      <c r="B2840" s="533" t="s">
        <v>217</v>
      </c>
      <c r="C2840" s="205"/>
      <c r="D2840" s="206"/>
      <c r="E2840" s="631"/>
      <c r="F2840" s="631"/>
      <c r="G2840" s="213"/>
    </row>
    <row r="2841" spans="1:11" x14ac:dyDescent="0.2">
      <c r="A2841" s="212"/>
      <c r="B2841" s="642" t="s">
        <v>2867</v>
      </c>
      <c r="C2841" s="205">
        <v>1</v>
      </c>
      <c r="D2841" s="206" t="s">
        <v>195</v>
      </c>
      <c r="E2841" s="630">
        <v>2500000</v>
      </c>
      <c r="F2841" s="631">
        <f t="shared" ref="F2841:F2849" si="37">C2841*E2841</f>
        <v>2500000</v>
      </c>
      <c r="G2841" s="213" t="s">
        <v>1409</v>
      </c>
      <c r="K2841" s="637">
        <f>F2841</f>
        <v>2500000</v>
      </c>
    </row>
    <row r="2842" spans="1:11" ht="36.75" customHeight="1" x14ac:dyDescent="0.2">
      <c r="A2842" s="212"/>
      <c r="B2842" s="642" t="s">
        <v>2868</v>
      </c>
      <c r="C2842" s="205">
        <v>1</v>
      </c>
      <c r="D2842" s="206" t="s">
        <v>195</v>
      </c>
      <c r="E2842" s="630">
        <v>12000000</v>
      </c>
      <c r="F2842" s="631">
        <f t="shared" si="37"/>
        <v>12000000</v>
      </c>
      <c r="G2842" s="213" t="s">
        <v>1409</v>
      </c>
      <c r="K2842" s="637">
        <f t="shared" ref="K2842:K2849" si="38">F2842</f>
        <v>12000000</v>
      </c>
    </row>
    <row r="2843" spans="1:11" x14ac:dyDescent="0.2">
      <c r="A2843" s="212"/>
      <c r="B2843" s="642" t="s">
        <v>2869</v>
      </c>
      <c r="C2843" s="205">
        <v>1</v>
      </c>
      <c r="D2843" s="206" t="s">
        <v>195</v>
      </c>
      <c r="E2843" s="630">
        <v>515000</v>
      </c>
      <c r="F2843" s="631">
        <f t="shared" si="37"/>
        <v>515000</v>
      </c>
      <c r="G2843" s="213" t="s">
        <v>1409</v>
      </c>
      <c r="K2843" s="637">
        <f t="shared" si="38"/>
        <v>515000</v>
      </c>
    </row>
    <row r="2844" spans="1:11" x14ac:dyDescent="0.2">
      <c r="A2844" s="212"/>
      <c r="B2844" s="642" t="s">
        <v>2032</v>
      </c>
      <c r="C2844" s="205">
        <v>1</v>
      </c>
      <c r="D2844" s="206" t="s">
        <v>115</v>
      </c>
      <c r="E2844" s="630">
        <v>6000000</v>
      </c>
      <c r="F2844" s="631">
        <f t="shared" si="37"/>
        <v>6000000</v>
      </c>
      <c r="G2844" s="213" t="s">
        <v>1409</v>
      </c>
      <c r="K2844" s="637">
        <f t="shared" si="38"/>
        <v>6000000</v>
      </c>
    </row>
    <row r="2845" spans="1:11" x14ac:dyDescent="0.2">
      <c r="A2845" s="212"/>
      <c r="B2845" s="642" t="s">
        <v>2870</v>
      </c>
      <c r="C2845" s="205">
        <v>2</v>
      </c>
      <c r="D2845" s="206" t="s">
        <v>115</v>
      </c>
      <c r="E2845" s="630">
        <v>5000000</v>
      </c>
      <c r="F2845" s="631">
        <f t="shared" si="37"/>
        <v>10000000</v>
      </c>
      <c r="G2845" s="213" t="s">
        <v>1409</v>
      </c>
      <c r="K2845" s="637">
        <f t="shared" si="38"/>
        <v>10000000</v>
      </c>
    </row>
    <row r="2846" spans="1:11" x14ac:dyDescent="0.2">
      <c r="A2846" s="212"/>
      <c r="B2846" s="642" t="s">
        <v>851</v>
      </c>
      <c r="C2846" s="205">
        <v>1</v>
      </c>
      <c r="D2846" s="206" t="s">
        <v>115</v>
      </c>
      <c r="E2846" s="630">
        <v>505000</v>
      </c>
      <c r="F2846" s="631">
        <f t="shared" si="37"/>
        <v>505000</v>
      </c>
      <c r="G2846" s="213" t="s">
        <v>1409</v>
      </c>
      <c r="K2846" s="637">
        <f t="shared" si="38"/>
        <v>505000</v>
      </c>
    </row>
    <row r="2847" spans="1:11" x14ac:dyDescent="0.2">
      <c r="A2847" s="212"/>
      <c r="B2847" s="535" t="s">
        <v>850</v>
      </c>
      <c r="C2847" s="205">
        <v>1</v>
      </c>
      <c r="D2847" s="206" t="s">
        <v>115</v>
      </c>
      <c r="E2847" s="641">
        <v>1200000</v>
      </c>
      <c r="F2847" s="631">
        <f t="shared" si="37"/>
        <v>1200000</v>
      </c>
      <c r="G2847" s="213" t="s">
        <v>1409</v>
      </c>
      <c r="K2847" s="637">
        <f t="shared" si="38"/>
        <v>1200000</v>
      </c>
    </row>
    <row r="2848" spans="1:11" x14ac:dyDescent="0.2">
      <c r="A2848" s="212"/>
      <c r="B2848" s="535" t="s">
        <v>849</v>
      </c>
      <c r="C2848" s="205">
        <v>1</v>
      </c>
      <c r="D2848" s="206" t="s">
        <v>848</v>
      </c>
      <c r="E2848" s="641">
        <v>20000000</v>
      </c>
      <c r="F2848" s="631">
        <f t="shared" si="37"/>
        <v>20000000</v>
      </c>
      <c r="G2848" s="213" t="s">
        <v>1409</v>
      </c>
      <c r="K2848" s="637">
        <f t="shared" si="38"/>
        <v>20000000</v>
      </c>
    </row>
    <row r="2849" spans="1:11" x14ac:dyDescent="0.2">
      <c r="A2849" s="212"/>
      <c r="B2849" s="535" t="s">
        <v>1451</v>
      </c>
      <c r="C2849" s="643">
        <v>2</v>
      </c>
      <c r="D2849" s="206" t="s">
        <v>115</v>
      </c>
      <c r="E2849" s="641">
        <v>10000000</v>
      </c>
      <c r="F2849" s="631">
        <f t="shared" si="37"/>
        <v>20000000</v>
      </c>
      <c r="G2849" s="213" t="s">
        <v>1409</v>
      </c>
      <c r="K2849" s="637">
        <f t="shared" si="38"/>
        <v>20000000</v>
      </c>
    </row>
    <row r="2850" spans="1:11" x14ac:dyDescent="0.2">
      <c r="A2850" s="212"/>
      <c r="B2850" s="638"/>
      <c r="C2850" s="643"/>
      <c r="D2850" s="643"/>
      <c r="E2850" s="641"/>
      <c r="F2850" s="631"/>
      <c r="G2850" s="213"/>
    </row>
    <row r="2851" spans="1:11" x14ac:dyDescent="0.2">
      <c r="A2851" s="242"/>
      <c r="B2851" s="1878" t="s">
        <v>847</v>
      </c>
      <c r="C2851" s="1878"/>
      <c r="D2851" s="1878"/>
      <c r="E2851" s="1878"/>
      <c r="F2851" s="644">
        <f>SUM(F2792:F2849)</f>
        <v>524669000</v>
      </c>
      <c r="G2851" s="242"/>
    </row>
    <row r="2852" spans="1:11" x14ac:dyDescent="0.2">
      <c r="A2852" s="1762" t="s">
        <v>549</v>
      </c>
      <c r="B2852" s="1762"/>
      <c r="C2852" s="188" t="s">
        <v>27</v>
      </c>
      <c r="D2852" s="1763" t="s">
        <v>1429</v>
      </c>
      <c r="E2852" s="1763"/>
      <c r="F2852" s="1763"/>
      <c r="G2852" s="188"/>
    </row>
    <row r="2853" spans="1:11" x14ac:dyDescent="0.2">
      <c r="A2853" s="1762" t="s">
        <v>28</v>
      </c>
      <c r="B2853" s="1762"/>
      <c r="C2853" s="188"/>
      <c r="D2853" s="1764" t="s">
        <v>2834</v>
      </c>
      <c r="E2853" s="1764"/>
      <c r="F2853" s="1764"/>
      <c r="G2853" s="188"/>
    </row>
    <row r="2854" spans="1:11" x14ac:dyDescent="0.2">
      <c r="A2854" s="186"/>
      <c r="B2854" s="187"/>
      <c r="C2854" s="188"/>
      <c r="D2854" s="189"/>
      <c r="E2854" s="218"/>
      <c r="F2854" s="218"/>
      <c r="G2854" s="188"/>
    </row>
    <row r="2855" spans="1:11" x14ac:dyDescent="0.2">
      <c r="A2855" s="186"/>
      <c r="B2855" s="187"/>
      <c r="C2855" s="188"/>
      <c r="D2855" s="189"/>
      <c r="E2855" s="218"/>
      <c r="F2855" s="218"/>
      <c r="G2855" s="188"/>
    </row>
    <row r="2856" spans="1:11" x14ac:dyDescent="0.2">
      <c r="A2856" s="1762"/>
      <c r="B2856" s="1762"/>
      <c r="C2856" s="188"/>
      <c r="D2856" s="189"/>
      <c r="E2856" s="1762"/>
      <c r="F2856" s="1762"/>
      <c r="G2856" s="188"/>
    </row>
    <row r="2857" spans="1:11" x14ac:dyDescent="0.2">
      <c r="A2857" s="1762" t="s">
        <v>29</v>
      </c>
      <c r="B2857" s="1762"/>
      <c r="C2857" s="188"/>
      <c r="D2857" s="1762" t="s">
        <v>2993</v>
      </c>
      <c r="E2857" s="1762"/>
      <c r="F2857" s="1762"/>
      <c r="G2857" s="188"/>
    </row>
    <row r="2860" spans="1:11" x14ac:dyDescent="0.2">
      <c r="A2860" s="1765" t="s">
        <v>0</v>
      </c>
      <c r="B2860" s="1765"/>
      <c r="C2860" s="1765"/>
      <c r="D2860" s="1765"/>
      <c r="E2860" s="1765"/>
      <c r="F2860" s="1765"/>
      <c r="G2860" s="1765"/>
    </row>
    <row r="2861" spans="1:11" x14ac:dyDescent="0.2">
      <c r="A2861" s="1765" t="s">
        <v>1</v>
      </c>
      <c r="B2861" s="1765"/>
      <c r="C2861" s="1765"/>
      <c r="D2861" s="1765"/>
      <c r="E2861" s="1765"/>
      <c r="F2861" s="1765"/>
      <c r="G2861" s="1765"/>
    </row>
    <row r="2862" spans="1:11" x14ac:dyDescent="0.2">
      <c r="A2862" s="1765" t="s">
        <v>1769</v>
      </c>
      <c r="B2862" s="1765"/>
      <c r="C2862" s="1765"/>
      <c r="D2862" s="1765"/>
      <c r="E2862" s="1765"/>
      <c r="F2862" s="1765"/>
      <c r="G2862" s="1765"/>
    </row>
    <row r="2863" spans="1:11" x14ac:dyDescent="0.2">
      <c r="A2863" s="192"/>
      <c r="B2863" s="187"/>
      <c r="C2863" s="189"/>
      <c r="D2863" s="189"/>
      <c r="E2863" s="620"/>
      <c r="F2863" s="621"/>
      <c r="G2863" s="187"/>
    </row>
    <row r="2864" spans="1:11" ht="24" x14ac:dyDescent="0.2">
      <c r="A2864" s="218" t="s">
        <v>524</v>
      </c>
      <c r="B2864" s="645" t="s">
        <v>689</v>
      </c>
      <c r="C2864" s="189"/>
      <c r="D2864" s="189"/>
      <c r="E2864" s="622" t="s">
        <v>6</v>
      </c>
      <c r="F2864" s="620"/>
      <c r="G2864" s="458"/>
    </row>
    <row r="2865" spans="1:11" x14ac:dyDescent="0.2">
      <c r="A2865" s="218" t="s">
        <v>887</v>
      </c>
      <c r="B2865" s="645" t="s">
        <v>886</v>
      </c>
      <c r="C2865" s="189"/>
      <c r="D2865" s="189"/>
      <c r="E2865" s="622" t="s">
        <v>9</v>
      </c>
      <c r="F2865" s="620"/>
      <c r="G2865" s="458"/>
    </row>
    <row r="2866" spans="1:11" ht="36" x14ac:dyDescent="0.2">
      <c r="A2866" s="220" t="s">
        <v>885</v>
      </c>
      <c r="B2866" s="187" t="s">
        <v>1732</v>
      </c>
      <c r="C2866" s="187"/>
      <c r="D2866" s="189"/>
      <c r="E2866" s="621"/>
      <c r="F2866" s="620"/>
      <c r="G2866" s="458"/>
    </row>
    <row r="2867" spans="1:11" ht="24" x14ac:dyDescent="0.2">
      <c r="A2867" s="187" t="s">
        <v>502</v>
      </c>
      <c r="B2867" s="254" t="s">
        <v>61</v>
      </c>
      <c r="C2867" s="189"/>
      <c r="D2867" s="189"/>
      <c r="E2867" s="620"/>
      <c r="F2867" s="620"/>
      <c r="G2867" s="458"/>
    </row>
    <row r="2868" spans="1:11" ht="24" x14ac:dyDescent="0.2">
      <c r="A2868" s="388" t="s">
        <v>30</v>
      </c>
      <c r="B2868" s="388" t="s">
        <v>11</v>
      </c>
      <c r="C2868" s="1787" t="s">
        <v>12</v>
      </c>
      <c r="D2868" s="1788"/>
      <c r="E2868" s="152" t="s">
        <v>13</v>
      </c>
      <c r="F2868" s="389" t="s">
        <v>14</v>
      </c>
      <c r="G2868" s="390" t="s">
        <v>266</v>
      </c>
    </row>
    <row r="2869" spans="1:11" x14ac:dyDescent="0.2">
      <c r="A2869" s="197">
        <v>1</v>
      </c>
      <c r="B2869" s="198">
        <v>2</v>
      </c>
      <c r="C2869" s="1773">
        <v>3</v>
      </c>
      <c r="D2869" s="1774"/>
      <c r="E2869" s="2">
        <v>4</v>
      </c>
      <c r="F2869" s="205">
        <v>5</v>
      </c>
      <c r="G2869" s="202">
        <v>6</v>
      </c>
    </row>
    <row r="2870" spans="1:11" x14ac:dyDescent="0.2">
      <c r="A2870" s="212"/>
      <c r="B2870" s="635" t="s">
        <v>1733</v>
      </c>
      <c r="C2870" s="205"/>
      <c r="D2870" s="206"/>
      <c r="E2870" s="641"/>
      <c r="F2870" s="631"/>
      <c r="G2870" s="213"/>
    </row>
    <row r="2871" spans="1:11" x14ac:dyDescent="0.2">
      <c r="A2871" s="212" t="s">
        <v>883</v>
      </c>
      <c r="B2871" s="635" t="s">
        <v>287</v>
      </c>
      <c r="C2871" s="205"/>
      <c r="D2871" s="206"/>
      <c r="E2871" s="641"/>
      <c r="F2871" s="631"/>
      <c r="G2871" s="213"/>
    </row>
    <row r="2872" spans="1:11" ht="24" x14ac:dyDescent="0.2">
      <c r="A2872" s="212" t="s">
        <v>882</v>
      </c>
      <c r="B2872" s="635" t="s">
        <v>86</v>
      </c>
      <c r="C2872" s="205"/>
      <c r="D2872" s="206"/>
      <c r="E2872" s="641"/>
      <c r="F2872" s="631"/>
      <c r="G2872" s="213"/>
    </row>
    <row r="2873" spans="1:11" ht="24" x14ac:dyDescent="0.2">
      <c r="A2873" s="212" t="s">
        <v>1734</v>
      </c>
      <c r="B2873" s="635" t="s">
        <v>1735</v>
      </c>
      <c r="C2873" s="205"/>
      <c r="D2873" s="206"/>
      <c r="E2873" s="641"/>
      <c r="F2873" s="631"/>
      <c r="G2873" s="213"/>
    </row>
    <row r="2874" spans="1:11" x14ac:dyDescent="0.2">
      <c r="A2874" s="212"/>
      <c r="B2874" s="638" t="s">
        <v>2802</v>
      </c>
      <c r="C2874" s="205">
        <v>24</v>
      </c>
      <c r="D2874" s="206" t="s">
        <v>110</v>
      </c>
      <c r="E2874" s="646">
        <v>3600</v>
      </c>
      <c r="F2874" s="631">
        <f t="shared" ref="F2874:F2920" si="39">C2874*E2874</f>
        <v>86400</v>
      </c>
      <c r="G2874" s="213" t="s">
        <v>1409</v>
      </c>
      <c r="J2874" s="637"/>
      <c r="K2874" s="637">
        <f>F2874</f>
        <v>86400</v>
      </c>
    </row>
    <row r="2875" spans="1:11" x14ac:dyDescent="0.2">
      <c r="A2875" s="212"/>
      <c r="B2875" s="638" t="s">
        <v>1772</v>
      </c>
      <c r="C2875" s="205">
        <v>12</v>
      </c>
      <c r="D2875" s="206" t="s">
        <v>110</v>
      </c>
      <c r="E2875" s="646">
        <v>27000</v>
      </c>
      <c r="F2875" s="631">
        <f t="shared" si="39"/>
        <v>324000</v>
      </c>
      <c r="G2875" s="213" t="s">
        <v>1409</v>
      </c>
      <c r="J2875" s="637"/>
      <c r="K2875" s="637">
        <f t="shared" ref="K2875:K2889" si="40">F2875</f>
        <v>324000</v>
      </c>
    </row>
    <row r="2876" spans="1:11" x14ac:dyDescent="0.2">
      <c r="A2876" s="212"/>
      <c r="B2876" s="638" t="s">
        <v>1773</v>
      </c>
      <c r="C2876" s="205">
        <v>5</v>
      </c>
      <c r="D2876" s="206" t="s">
        <v>110</v>
      </c>
      <c r="E2876" s="646">
        <v>8800</v>
      </c>
      <c r="F2876" s="631">
        <f t="shared" si="39"/>
        <v>44000</v>
      </c>
      <c r="G2876" s="213" t="s">
        <v>1409</v>
      </c>
      <c r="J2876" s="637"/>
      <c r="K2876" s="637">
        <f t="shared" si="40"/>
        <v>44000</v>
      </c>
    </row>
    <row r="2877" spans="1:11" ht="48" x14ac:dyDescent="0.2">
      <c r="A2877" s="212" t="s">
        <v>881</v>
      </c>
      <c r="B2877" s="635" t="s">
        <v>898</v>
      </c>
      <c r="C2877" s="205"/>
      <c r="D2877" s="206"/>
      <c r="E2877" s="646"/>
      <c r="F2877" s="631"/>
      <c r="G2877" s="213"/>
      <c r="K2877" s="637"/>
    </row>
    <row r="2878" spans="1:11" x14ac:dyDescent="0.2">
      <c r="A2878" s="212"/>
      <c r="B2878" s="638" t="s">
        <v>2033</v>
      </c>
      <c r="C2878" s="205">
        <v>12</v>
      </c>
      <c r="D2878" s="206" t="s">
        <v>110</v>
      </c>
      <c r="E2878" s="646">
        <v>20000</v>
      </c>
      <c r="F2878" s="631">
        <f t="shared" si="39"/>
        <v>240000</v>
      </c>
      <c r="G2878" s="213" t="s">
        <v>1409</v>
      </c>
      <c r="J2878" s="637"/>
      <c r="K2878" s="637">
        <f t="shared" si="40"/>
        <v>240000</v>
      </c>
    </row>
    <row r="2879" spans="1:11" x14ac:dyDescent="0.2">
      <c r="A2879" s="212"/>
      <c r="B2879" s="638" t="s">
        <v>2034</v>
      </c>
      <c r="C2879" s="205">
        <v>1</v>
      </c>
      <c r="D2879" s="206" t="s">
        <v>1736</v>
      </c>
      <c r="E2879" s="646">
        <v>9000000</v>
      </c>
      <c r="F2879" s="631">
        <f t="shared" si="39"/>
        <v>9000000</v>
      </c>
      <c r="G2879" s="213" t="s">
        <v>1409</v>
      </c>
      <c r="J2879" s="637"/>
      <c r="K2879" s="637">
        <f t="shared" si="40"/>
        <v>9000000</v>
      </c>
    </row>
    <row r="2880" spans="1:11" ht="48" x14ac:dyDescent="0.2">
      <c r="A2880" s="212" t="s">
        <v>1737</v>
      </c>
      <c r="B2880" s="635" t="s">
        <v>1738</v>
      </c>
      <c r="C2880" s="205"/>
      <c r="D2880" s="206"/>
      <c r="E2880" s="646"/>
      <c r="F2880" s="631"/>
      <c r="G2880" s="213"/>
      <c r="K2880" s="637"/>
    </row>
    <row r="2881" spans="1:11" x14ac:dyDescent="0.2">
      <c r="A2881" s="212"/>
      <c r="B2881" s="638" t="s">
        <v>1739</v>
      </c>
      <c r="C2881" s="205">
        <v>12</v>
      </c>
      <c r="D2881" s="206" t="s">
        <v>110</v>
      </c>
      <c r="E2881" s="646">
        <v>50000</v>
      </c>
      <c r="F2881" s="631">
        <f t="shared" si="39"/>
        <v>600000</v>
      </c>
      <c r="G2881" s="213" t="s">
        <v>1409</v>
      </c>
      <c r="K2881" s="637">
        <f t="shared" si="40"/>
        <v>600000</v>
      </c>
    </row>
    <row r="2882" spans="1:11" x14ac:dyDescent="0.2">
      <c r="A2882" s="212"/>
      <c r="B2882" s="638" t="s">
        <v>616</v>
      </c>
      <c r="C2882" s="205">
        <v>12</v>
      </c>
      <c r="D2882" s="206" t="s">
        <v>110</v>
      </c>
      <c r="E2882" s="646">
        <v>40000</v>
      </c>
      <c r="F2882" s="631">
        <f t="shared" si="39"/>
        <v>480000</v>
      </c>
      <c r="G2882" s="213" t="s">
        <v>1409</v>
      </c>
      <c r="K2882" s="637">
        <f t="shared" si="40"/>
        <v>480000</v>
      </c>
    </row>
    <row r="2883" spans="1:11" x14ac:dyDescent="0.2">
      <c r="A2883" s="212"/>
      <c r="B2883" s="638" t="s">
        <v>1740</v>
      </c>
      <c r="C2883" s="205">
        <v>12</v>
      </c>
      <c r="D2883" s="206" t="s">
        <v>110</v>
      </c>
      <c r="E2883" s="646">
        <v>57100</v>
      </c>
      <c r="F2883" s="631">
        <f t="shared" si="39"/>
        <v>685200</v>
      </c>
      <c r="G2883" s="213" t="s">
        <v>1409</v>
      </c>
      <c r="K2883" s="637">
        <f t="shared" si="40"/>
        <v>685200</v>
      </c>
    </row>
    <row r="2884" spans="1:11" x14ac:dyDescent="0.2">
      <c r="A2884" s="212"/>
      <c r="B2884" s="638" t="s">
        <v>1741</v>
      </c>
      <c r="C2884" s="205">
        <v>6</v>
      </c>
      <c r="D2884" s="206" t="s">
        <v>110</v>
      </c>
      <c r="E2884" s="646">
        <v>15000</v>
      </c>
      <c r="F2884" s="631">
        <f t="shared" si="39"/>
        <v>90000</v>
      </c>
      <c r="G2884" s="213" t="s">
        <v>1409</v>
      </c>
      <c r="K2884" s="637">
        <f t="shared" si="40"/>
        <v>90000</v>
      </c>
    </row>
    <row r="2885" spans="1:11" x14ac:dyDescent="0.2">
      <c r="A2885" s="212"/>
      <c r="B2885" s="638" t="s">
        <v>1742</v>
      </c>
      <c r="C2885" s="205">
        <v>6</v>
      </c>
      <c r="D2885" s="206" t="s">
        <v>110</v>
      </c>
      <c r="E2885" s="646">
        <v>60000</v>
      </c>
      <c r="F2885" s="631">
        <f t="shared" si="39"/>
        <v>360000</v>
      </c>
      <c r="G2885" s="213" t="s">
        <v>1409</v>
      </c>
      <c r="K2885" s="637">
        <f t="shared" si="40"/>
        <v>360000</v>
      </c>
    </row>
    <row r="2886" spans="1:11" x14ac:dyDescent="0.2">
      <c r="A2886" s="212"/>
      <c r="B2886" s="638" t="s">
        <v>1743</v>
      </c>
      <c r="C2886" s="205">
        <v>6</v>
      </c>
      <c r="D2886" s="206" t="s">
        <v>110</v>
      </c>
      <c r="E2886" s="646">
        <v>10000</v>
      </c>
      <c r="F2886" s="631">
        <f t="shared" si="39"/>
        <v>60000</v>
      </c>
      <c r="G2886" s="213" t="s">
        <v>1409</v>
      </c>
      <c r="K2886" s="637">
        <f t="shared" si="40"/>
        <v>60000</v>
      </c>
    </row>
    <row r="2887" spans="1:11" x14ac:dyDescent="0.2">
      <c r="A2887" s="212"/>
      <c r="B2887" s="638" t="s">
        <v>891</v>
      </c>
      <c r="C2887" s="205">
        <v>6</v>
      </c>
      <c r="D2887" s="206" t="s">
        <v>110</v>
      </c>
      <c r="E2887" s="646">
        <v>30000</v>
      </c>
      <c r="F2887" s="631">
        <f t="shared" si="39"/>
        <v>180000</v>
      </c>
      <c r="G2887" s="213" t="s">
        <v>1409</v>
      </c>
      <c r="K2887" s="637">
        <f t="shared" si="40"/>
        <v>180000</v>
      </c>
    </row>
    <row r="2888" spans="1:11" x14ac:dyDescent="0.2">
      <c r="A2888" s="212"/>
      <c r="B2888" s="638" t="s">
        <v>1744</v>
      </c>
      <c r="C2888" s="205">
        <v>6</v>
      </c>
      <c r="D2888" s="206" t="s">
        <v>110</v>
      </c>
      <c r="E2888" s="646">
        <v>17000</v>
      </c>
      <c r="F2888" s="631">
        <f t="shared" si="39"/>
        <v>102000</v>
      </c>
      <c r="G2888" s="213" t="s">
        <v>1409</v>
      </c>
      <c r="K2888" s="637">
        <f t="shared" si="40"/>
        <v>102000</v>
      </c>
    </row>
    <row r="2889" spans="1:11" x14ac:dyDescent="0.2">
      <c r="A2889" s="212"/>
      <c r="B2889" s="638" t="s">
        <v>617</v>
      </c>
      <c r="C2889" s="205">
        <v>12</v>
      </c>
      <c r="D2889" s="206" t="s">
        <v>110</v>
      </c>
      <c r="E2889" s="646">
        <v>15000</v>
      </c>
      <c r="F2889" s="631">
        <f t="shared" si="39"/>
        <v>180000</v>
      </c>
      <c r="G2889" s="213" t="s">
        <v>1409</v>
      </c>
      <c r="K2889" s="637">
        <f t="shared" si="40"/>
        <v>180000</v>
      </c>
    </row>
    <row r="2890" spans="1:11" ht="24" x14ac:dyDescent="0.2">
      <c r="A2890" s="212" t="s">
        <v>1737</v>
      </c>
      <c r="B2890" s="635" t="s">
        <v>1745</v>
      </c>
      <c r="C2890" s="205"/>
      <c r="D2890" s="206"/>
      <c r="E2890" s="646"/>
      <c r="F2890" s="631"/>
      <c r="G2890" s="213"/>
    </row>
    <row r="2891" spans="1:11" x14ac:dyDescent="0.2">
      <c r="A2891" s="212"/>
      <c r="B2891" s="638" t="s">
        <v>1746</v>
      </c>
      <c r="C2891" s="205">
        <v>365</v>
      </c>
      <c r="D2891" s="206" t="s">
        <v>165</v>
      </c>
      <c r="E2891" s="646">
        <v>15000</v>
      </c>
      <c r="F2891" s="631">
        <f t="shared" si="39"/>
        <v>5475000</v>
      </c>
      <c r="G2891" s="213" t="s">
        <v>1409</v>
      </c>
      <c r="K2891" s="637">
        <f t="shared" ref="K2891:K2896" si="41">F2891</f>
        <v>5475000</v>
      </c>
    </row>
    <row r="2892" spans="1:11" ht="24" x14ac:dyDescent="0.2">
      <c r="A2892" s="212"/>
      <c r="B2892" s="629" t="s">
        <v>2017</v>
      </c>
      <c r="C2892" s="205">
        <v>24</v>
      </c>
      <c r="D2892" s="206" t="s">
        <v>165</v>
      </c>
      <c r="E2892" s="646">
        <v>50000</v>
      </c>
      <c r="F2892" s="631">
        <f t="shared" si="39"/>
        <v>1200000</v>
      </c>
      <c r="G2892" s="213" t="s">
        <v>1409</v>
      </c>
      <c r="K2892" s="637">
        <f t="shared" si="41"/>
        <v>1200000</v>
      </c>
    </row>
    <row r="2893" spans="1:11" x14ac:dyDescent="0.2">
      <c r="A2893" s="212"/>
      <c r="B2893" s="629" t="s">
        <v>2018</v>
      </c>
      <c r="C2893" s="205">
        <v>2</v>
      </c>
      <c r="D2893" s="206" t="s">
        <v>297</v>
      </c>
      <c r="E2893" s="641">
        <v>115000</v>
      </c>
      <c r="F2893" s="631">
        <f>C2893*E2893</f>
        <v>230000</v>
      </c>
      <c r="G2893" s="213" t="s">
        <v>1409</v>
      </c>
      <c r="K2893" s="637">
        <f t="shared" si="41"/>
        <v>230000</v>
      </c>
    </row>
    <row r="2894" spans="1:11" x14ac:dyDescent="0.2">
      <c r="A2894" s="212"/>
      <c r="B2894" s="629" t="s">
        <v>2019</v>
      </c>
      <c r="C2894" s="205">
        <v>2</v>
      </c>
      <c r="D2894" s="206" t="s">
        <v>297</v>
      </c>
      <c r="E2894" s="641">
        <v>115000</v>
      </c>
      <c r="F2894" s="631">
        <f>C2894*E2894</f>
        <v>230000</v>
      </c>
      <c r="G2894" s="213" t="s">
        <v>1409</v>
      </c>
      <c r="K2894" s="637">
        <f t="shared" si="41"/>
        <v>230000</v>
      </c>
    </row>
    <row r="2895" spans="1:11" x14ac:dyDescent="0.2">
      <c r="A2895" s="212"/>
      <c r="B2895" s="629" t="s">
        <v>2020</v>
      </c>
      <c r="C2895" s="205">
        <v>2</v>
      </c>
      <c r="D2895" s="206" t="s">
        <v>297</v>
      </c>
      <c r="E2895" s="641">
        <v>215000</v>
      </c>
      <c r="F2895" s="631">
        <f>C2895*E2895</f>
        <v>430000</v>
      </c>
      <c r="G2895" s="213" t="s">
        <v>1409</v>
      </c>
      <c r="K2895" s="637">
        <f t="shared" si="41"/>
        <v>430000</v>
      </c>
    </row>
    <row r="2896" spans="1:11" x14ac:dyDescent="0.2">
      <c r="A2896" s="212"/>
      <c r="B2896" s="629" t="s">
        <v>2021</v>
      </c>
      <c r="C2896" s="205">
        <v>2</v>
      </c>
      <c r="D2896" s="206" t="s">
        <v>297</v>
      </c>
      <c r="E2896" s="641">
        <v>265000</v>
      </c>
      <c r="F2896" s="631">
        <f>C2896*E2896</f>
        <v>530000</v>
      </c>
      <c r="G2896" s="213" t="s">
        <v>1409</v>
      </c>
      <c r="K2896" s="637">
        <f t="shared" si="41"/>
        <v>530000</v>
      </c>
    </row>
    <row r="2897" spans="1:11" x14ac:dyDescent="0.2">
      <c r="A2897" s="212" t="s">
        <v>876</v>
      </c>
      <c r="B2897" s="635" t="s">
        <v>1018</v>
      </c>
      <c r="C2897" s="205"/>
      <c r="D2897" s="206"/>
      <c r="E2897" s="646"/>
      <c r="F2897" s="631"/>
      <c r="G2897" s="213"/>
    </row>
    <row r="2898" spans="1:11" x14ac:dyDescent="0.2">
      <c r="A2898" s="212"/>
      <c r="B2898" s="638" t="s">
        <v>1747</v>
      </c>
      <c r="C2898" s="205">
        <v>3</v>
      </c>
      <c r="D2898" s="206" t="s">
        <v>110</v>
      </c>
      <c r="E2898" s="646">
        <v>185000</v>
      </c>
      <c r="F2898" s="631">
        <f t="shared" si="39"/>
        <v>555000</v>
      </c>
      <c r="G2898" s="213" t="s">
        <v>1409</v>
      </c>
      <c r="K2898" s="637">
        <f>F2898</f>
        <v>555000</v>
      </c>
    </row>
    <row r="2899" spans="1:11" x14ac:dyDescent="0.2">
      <c r="A2899" s="212"/>
      <c r="B2899" s="638" t="s">
        <v>871</v>
      </c>
      <c r="C2899" s="205">
        <v>12</v>
      </c>
      <c r="D2899" s="206" t="s">
        <v>110</v>
      </c>
      <c r="E2899" s="646">
        <v>35000</v>
      </c>
      <c r="F2899" s="631">
        <f t="shared" si="39"/>
        <v>420000</v>
      </c>
      <c r="G2899" s="213" t="s">
        <v>1409</v>
      </c>
      <c r="K2899" s="637">
        <f t="shared" ref="K2899:K2906" si="42">F2899</f>
        <v>420000</v>
      </c>
    </row>
    <row r="2900" spans="1:11" x14ac:dyDescent="0.2">
      <c r="A2900" s="212"/>
      <c r="B2900" s="638" t="s">
        <v>1748</v>
      </c>
      <c r="C2900" s="205">
        <v>2</v>
      </c>
      <c r="D2900" s="206" t="s">
        <v>110</v>
      </c>
      <c r="E2900" s="646">
        <v>25000</v>
      </c>
      <c r="F2900" s="631">
        <f t="shared" si="39"/>
        <v>50000</v>
      </c>
      <c r="G2900" s="213" t="s">
        <v>1409</v>
      </c>
      <c r="K2900" s="637">
        <f t="shared" si="42"/>
        <v>50000</v>
      </c>
    </row>
    <row r="2901" spans="1:11" x14ac:dyDescent="0.2">
      <c r="A2901" s="212"/>
      <c r="B2901" s="638" t="s">
        <v>1749</v>
      </c>
      <c r="C2901" s="205">
        <v>2</v>
      </c>
      <c r="D2901" s="206" t="s">
        <v>110</v>
      </c>
      <c r="E2901" s="646">
        <v>150000</v>
      </c>
      <c r="F2901" s="631">
        <f t="shared" si="39"/>
        <v>300000</v>
      </c>
      <c r="G2901" s="213" t="s">
        <v>1409</v>
      </c>
      <c r="K2901" s="637">
        <f t="shared" si="42"/>
        <v>300000</v>
      </c>
    </row>
    <row r="2902" spans="1:11" x14ac:dyDescent="0.2">
      <c r="A2902" s="212"/>
      <c r="B2902" s="638" t="s">
        <v>1750</v>
      </c>
      <c r="C2902" s="205">
        <v>2</v>
      </c>
      <c r="D2902" s="206" t="s">
        <v>110</v>
      </c>
      <c r="E2902" s="646">
        <v>120000</v>
      </c>
      <c r="F2902" s="631">
        <f t="shared" si="39"/>
        <v>240000</v>
      </c>
      <c r="G2902" s="213" t="s">
        <v>1409</v>
      </c>
      <c r="K2902" s="637">
        <f t="shared" si="42"/>
        <v>240000</v>
      </c>
    </row>
    <row r="2903" spans="1:11" x14ac:dyDescent="0.2">
      <c r="A2903" s="212"/>
      <c r="B2903" s="638" t="s">
        <v>1751</v>
      </c>
      <c r="C2903" s="205">
        <v>2</v>
      </c>
      <c r="D2903" s="206" t="s">
        <v>110</v>
      </c>
      <c r="E2903" s="646">
        <v>120000</v>
      </c>
      <c r="F2903" s="631">
        <f t="shared" si="39"/>
        <v>240000</v>
      </c>
      <c r="G2903" s="213" t="s">
        <v>1409</v>
      </c>
      <c r="K2903" s="637">
        <f t="shared" si="42"/>
        <v>240000</v>
      </c>
    </row>
    <row r="2904" spans="1:11" x14ac:dyDescent="0.2">
      <c r="A2904" s="212"/>
      <c r="B2904" s="638" t="s">
        <v>321</v>
      </c>
      <c r="C2904" s="205">
        <v>6</v>
      </c>
      <c r="D2904" s="206" t="s">
        <v>507</v>
      </c>
      <c r="E2904" s="646">
        <v>45000</v>
      </c>
      <c r="F2904" s="631">
        <f t="shared" si="39"/>
        <v>270000</v>
      </c>
      <c r="G2904" s="213" t="s">
        <v>1409</v>
      </c>
      <c r="K2904" s="637">
        <f t="shared" si="42"/>
        <v>270000</v>
      </c>
    </row>
    <row r="2905" spans="1:11" x14ac:dyDescent="0.2">
      <c r="A2905" s="212"/>
      <c r="B2905" s="638" t="s">
        <v>1752</v>
      </c>
      <c r="C2905" s="205">
        <v>2</v>
      </c>
      <c r="D2905" s="206" t="s">
        <v>276</v>
      </c>
      <c r="E2905" s="646">
        <v>405000</v>
      </c>
      <c r="F2905" s="631">
        <f t="shared" si="39"/>
        <v>810000</v>
      </c>
      <c r="G2905" s="213" t="s">
        <v>1409</v>
      </c>
      <c r="K2905" s="637">
        <f t="shared" si="42"/>
        <v>810000</v>
      </c>
    </row>
    <row r="2906" spans="1:11" x14ac:dyDescent="0.2">
      <c r="A2906" s="212"/>
      <c r="B2906" s="638" t="s">
        <v>2035</v>
      </c>
      <c r="C2906" s="205">
        <v>500</v>
      </c>
      <c r="D2906" s="206" t="s">
        <v>110</v>
      </c>
      <c r="E2906" s="646">
        <v>6043</v>
      </c>
      <c r="F2906" s="631">
        <f t="shared" si="39"/>
        <v>3021500</v>
      </c>
      <c r="G2906" s="213" t="s">
        <v>1409</v>
      </c>
      <c r="K2906" s="637">
        <f t="shared" si="42"/>
        <v>3021500</v>
      </c>
    </row>
    <row r="2907" spans="1:11" ht="24" x14ac:dyDescent="0.2">
      <c r="A2907" s="212" t="s">
        <v>1753</v>
      </c>
      <c r="B2907" s="635" t="s">
        <v>1754</v>
      </c>
      <c r="C2907" s="205"/>
      <c r="D2907" s="206"/>
      <c r="E2907" s="646"/>
      <c r="F2907" s="631"/>
      <c r="G2907" s="213"/>
    </row>
    <row r="2908" spans="1:11" x14ac:dyDescent="0.2">
      <c r="A2908" s="212"/>
      <c r="B2908" s="638" t="s">
        <v>2036</v>
      </c>
      <c r="C2908" s="205">
        <v>36</v>
      </c>
      <c r="D2908" s="206" t="s">
        <v>123</v>
      </c>
      <c r="E2908" s="646">
        <v>35000</v>
      </c>
      <c r="F2908" s="631">
        <f t="shared" si="39"/>
        <v>1260000</v>
      </c>
      <c r="G2908" s="213" t="s">
        <v>1409</v>
      </c>
      <c r="K2908" s="637">
        <f>F2908</f>
        <v>1260000</v>
      </c>
    </row>
    <row r="2909" spans="1:11" x14ac:dyDescent="0.2">
      <c r="A2909" s="212" t="s">
        <v>866</v>
      </c>
      <c r="B2909" s="635" t="s">
        <v>511</v>
      </c>
      <c r="C2909" s="205"/>
      <c r="D2909" s="206"/>
      <c r="E2909" s="646"/>
      <c r="F2909" s="631"/>
      <c r="G2909" s="213"/>
    </row>
    <row r="2910" spans="1:11" ht="24" x14ac:dyDescent="0.2">
      <c r="A2910" s="212" t="s">
        <v>1755</v>
      </c>
      <c r="B2910" s="635" t="s">
        <v>1756</v>
      </c>
      <c r="C2910" s="205"/>
      <c r="D2910" s="206"/>
      <c r="E2910" s="646"/>
      <c r="F2910" s="631"/>
      <c r="G2910" s="213"/>
    </row>
    <row r="2911" spans="1:11" x14ac:dyDescent="0.2">
      <c r="A2911" s="212"/>
      <c r="B2911" s="638" t="s">
        <v>1757</v>
      </c>
      <c r="C2911" s="205">
        <v>12</v>
      </c>
      <c r="D2911" s="206" t="s">
        <v>21</v>
      </c>
      <c r="E2911" s="646">
        <v>1000000</v>
      </c>
      <c r="F2911" s="631">
        <f>E2911*C2911</f>
        <v>12000000</v>
      </c>
      <c r="G2911" s="213" t="s">
        <v>1409</v>
      </c>
      <c r="K2911" s="637">
        <f>F2911</f>
        <v>12000000</v>
      </c>
    </row>
    <row r="2912" spans="1:11" x14ac:dyDescent="0.2">
      <c r="A2912" s="212"/>
      <c r="B2912" s="638" t="s">
        <v>1758</v>
      </c>
      <c r="C2912" s="205">
        <v>12</v>
      </c>
      <c r="D2912" s="206" t="s">
        <v>21</v>
      </c>
      <c r="E2912" s="646">
        <v>1000000</v>
      </c>
      <c r="F2912" s="631">
        <f>E2912*C2912</f>
        <v>12000000</v>
      </c>
      <c r="G2912" s="213" t="s">
        <v>1409</v>
      </c>
      <c r="K2912" s="637">
        <f>F2912</f>
        <v>12000000</v>
      </c>
    </row>
    <row r="2913" spans="1:20" x14ac:dyDescent="0.2">
      <c r="A2913" s="212"/>
      <c r="B2913" s="638" t="s">
        <v>1759</v>
      </c>
      <c r="C2913" s="205">
        <v>12</v>
      </c>
      <c r="D2913" s="206" t="s">
        <v>21</v>
      </c>
      <c r="E2913" s="646">
        <v>1000000</v>
      </c>
      <c r="F2913" s="631">
        <f>E2913*C2913</f>
        <v>12000000</v>
      </c>
      <c r="G2913" s="213" t="s">
        <v>1409</v>
      </c>
      <c r="K2913" s="637">
        <f>F2913</f>
        <v>12000000</v>
      </c>
    </row>
    <row r="2914" spans="1:20" x14ac:dyDescent="0.2">
      <c r="A2914" s="212" t="s">
        <v>865</v>
      </c>
      <c r="B2914" s="635" t="s">
        <v>1760</v>
      </c>
      <c r="C2914" s="205"/>
      <c r="D2914" s="206"/>
      <c r="E2914" s="646"/>
      <c r="F2914" s="631"/>
      <c r="G2914" s="213"/>
    </row>
    <row r="2915" spans="1:20" ht="24" x14ac:dyDescent="0.2">
      <c r="A2915" s="212"/>
      <c r="B2915" s="638" t="s">
        <v>2037</v>
      </c>
      <c r="C2915" s="205">
        <f>4*12</f>
        <v>48</v>
      </c>
      <c r="D2915" s="206" t="s">
        <v>21</v>
      </c>
      <c r="E2915" s="646">
        <v>1700000</v>
      </c>
      <c r="F2915" s="631">
        <f>E2915*C2915</f>
        <v>81600000</v>
      </c>
      <c r="G2915" s="213" t="s">
        <v>1409</v>
      </c>
      <c r="K2915" s="637">
        <f>F2915</f>
        <v>81600000</v>
      </c>
    </row>
    <row r="2916" spans="1:20" ht="24" x14ac:dyDescent="0.2">
      <c r="A2916" s="212" t="s">
        <v>863</v>
      </c>
      <c r="B2916" s="635" t="s">
        <v>862</v>
      </c>
      <c r="C2916" s="205"/>
      <c r="D2916" s="206"/>
      <c r="E2916" s="646"/>
      <c r="F2916" s="631"/>
      <c r="G2916" s="213"/>
    </row>
    <row r="2917" spans="1:20" x14ac:dyDescent="0.2">
      <c r="A2917" s="212" t="s">
        <v>1761</v>
      </c>
      <c r="B2917" s="635" t="s">
        <v>1762</v>
      </c>
      <c r="C2917" s="205"/>
      <c r="D2917" s="206"/>
      <c r="E2917" s="646"/>
      <c r="F2917" s="631"/>
      <c r="G2917" s="213"/>
    </row>
    <row r="2918" spans="1:20" x14ac:dyDescent="0.2">
      <c r="A2918" s="212"/>
      <c r="B2918" s="638" t="s">
        <v>1763</v>
      </c>
      <c r="C2918" s="205">
        <v>12</v>
      </c>
      <c r="D2918" s="206" t="s">
        <v>127</v>
      </c>
      <c r="E2918" s="646">
        <v>2500000</v>
      </c>
      <c r="F2918" s="631">
        <f>C2918*E2918</f>
        <v>30000000</v>
      </c>
      <c r="G2918" s="213" t="s">
        <v>1409</v>
      </c>
      <c r="K2918" s="637">
        <f>F2918</f>
        <v>30000000</v>
      </c>
    </row>
    <row r="2919" spans="1:20" ht="24" x14ac:dyDescent="0.2">
      <c r="A2919" s="212" t="s">
        <v>1764</v>
      </c>
      <c r="B2919" s="635" t="s">
        <v>1765</v>
      </c>
      <c r="C2919" s="205"/>
      <c r="D2919" s="206"/>
      <c r="E2919" s="646"/>
      <c r="F2919" s="631"/>
      <c r="G2919" s="213"/>
    </row>
    <row r="2920" spans="1:20" ht="24" x14ac:dyDescent="0.2">
      <c r="A2920" s="212"/>
      <c r="B2920" s="638" t="s">
        <v>1766</v>
      </c>
      <c r="C2920" s="205">
        <v>24</v>
      </c>
      <c r="D2920" s="206" t="s">
        <v>2038</v>
      </c>
      <c r="E2920" s="646">
        <v>20000</v>
      </c>
      <c r="F2920" s="631">
        <f t="shared" si="39"/>
        <v>480000</v>
      </c>
      <c r="G2920" s="213" t="s">
        <v>2570</v>
      </c>
      <c r="K2920" s="637"/>
      <c r="T2920" s="637">
        <f>F2920</f>
        <v>480000</v>
      </c>
    </row>
    <row r="2921" spans="1:20" x14ac:dyDescent="0.2">
      <c r="A2921" s="212" t="s">
        <v>857</v>
      </c>
      <c r="B2921" s="635" t="s">
        <v>215</v>
      </c>
      <c r="C2921" s="205"/>
      <c r="D2921" s="206"/>
      <c r="E2921" s="646"/>
      <c r="F2921" s="631"/>
      <c r="G2921" s="213"/>
    </row>
    <row r="2922" spans="1:20" ht="24" x14ac:dyDescent="0.2">
      <c r="A2922" s="212" t="s">
        <v>856</v>
      </c>
      <c r="B2922" s="635" t="s">
        <v>1767</v>
      </c>
      <c r="C2922" s="205"/>
      <c r="D2922" s="206"/>
      <c r="E2922" s="646"/>
      <c r="F2922" s="631"/>
      <c r="G2922" s="213"/>
    </row>
    <row r="2923" spans="1:20" ht="24" x14ac:dyDescent="0.2">
      <c r="A2923" s="212"/>
      <c r="B2923" s="638" t="s">
        <v>2039</v>
      </c>
      <c r="C2923" s="205">
        <v>1</v>
      </c>
      <c r="D2923" s="206" t="s">
        <v>219</v>
      </c>
      <c r="E2923" s="646">
        <v>5000000</v>
      </c>
      <c r="F2923" s="631">
        <f>C2923*E2923</f>
        <v>5000000</v>
      </c>
      <c r="G2923" s="213" t="s">
        <v>1409</v>
      </c>
      <c r="K2923" s="637">
        <f>F2923</f>
        <v>5000000</v>
      </c>
    </row>
    <row r="2924" spans="1:20" x14ac:dyDescent="0.2">
      <c r="A2924" s="212"/>
      <c r="B2924" s="638" t="s">
        <v>2040</v>
      </c>
      <c r="C2924" s="205">
        <v>1</v>
      </c>
      <c r="D2924" s="206" t="s">
        <v>219</v>
      </c>
      <c r="E2924" s="646">
        <v>5000000</v>
      </c>
      <c r="F2924" s="631">
        <f>C2924*E2924</f>
        <v>5000000</v>
      </c>
      <c r="G2924" s="213" t="s">
        <v>1409</v>
      </c>
      <c r="K2924" s="637">
        <f>F2924</f>
        <v>5000000</v>
      </c>
    </row>
    <row r="2925" spans="1:20" ht="24" x14ac:dyDescent="0.2">
      <c r="A2925" s="212" t="s">
        <v>852</v>
      </c>
      <c r="B2925" s="635" t="s">
        <v>217</v>
      </c>
      <c r="C2925" s="205"/>
      <c r="D2925" s="206"/>
      <c r="E2925" s="646"/>
      <c r="F2925" s="631"/>
      <c r="G2925" s="213"/>
    </row>
    <row r="2926" spans="1:20" x14ac:dyDescent="0.2">
      <c r="A2926" s="212"/>
      <c r="B2926" s="629"/>
      <c r="C2926" s="643"/>
      <c r="D2926" s="643"/>
      <c r="E2926" s="630"/>
      <c r="F2926" s="631"/>
      <c r="G2926" s="213"/>
    </row>
    <row r="2927" spans="1:20" x14ac:dyDescent="0.2">
      <c r="A2927" s="197"/>
      <c r="B2927" s="2017" t="s">
        <v>847</v>
      </c>
      <c r="C2927" s="2018"/>
      <c r="D2927" s="2018"/>
      <c r="E2927" s="2019"/>
      <c r="F2927" s="647">
        <f>SUM(F2874:F2925)</f>
        <v>185773100</v>
      </c>
      <c r="G2927" s="213"/>
    </row>
    <row r="2928" spans="1:20" x14ac:dyDescent="0.2">
      <c r="A2928" s="1762" t="s">
        <v>549</v>
      </c>
      <c r="B2928" s="1762"/>
      <c r="C2928" s="188" t="s">
        <v>27</v>
      </c>
      <c r="D2928" s="1763" t="s">
        <v>1429</v>
      </c>
      <c r="E2928" s="1763"/>
      <c r="F2928" s="1763"/>
      <c r="G2928" s="188"/>
    </row>
    <row r="2929" spans="1:7" x14ac:dyDescent="0.2">
      <c r="A2929" s="1762" t="s">
        <v>28</v>
      </c>
      <c r="B2929" s="1762"/>
      <c r="C2929" s="188"/>
      <c r="D2929" s="1764" t="s">
        <v>2834</v>
      </c>
      <c r="E2929" s="1764"/>
      <c r="F2929" s="1764"/>
      <c r="G2929" s="188"/>
    </row>
    <row r="2930" spans="1:7" x14ac:dyDescent="0.2">
      <c r="A2930" s="186"/>
      <c r="B2930" s="187"/>
      <c r="C2930" s="188"/>
      <c r="D2930" s="189"/>
      <c r="E2930" s="218"/>
      <c r="F2930" s="218"/>
      <c r="G2930" s="188"/>
    </row>
    <row r="2931" spans="1:7" x14ac:dyDescent="0.2">
      <c r="A2931" s="186"/>
      <c r="B2931" s="187"/>
      <c r="C2931" s="188"/>
      <c r="D2931" s="189"/>
      <c r="E2931" s="218"/>
      <c r="F2931" s="218"/>
      <c r="G2931" s="188"/>
    </row>
    <row r="2932" spans="1:7" x14ac:dyDescent="0.2">
      <c r="A2932" s="1762"/>
      <c r="B2932" s="1762"/>
      <c r="C2932" s="188"/>
      <c r="D2932" s="189"/>
      <c r="E2932" s="1762"/>
      <c r="F2932" s="1762"/>
      <c r="G2932" s="188"/>
    </row>
    <row r="2933" spans="1:7" x14ac:dyDescent="0.2">
      <c r="A2933" s="1762" t="s">
        <v>29</v>
      </c>
      <c r="B2933" s="1762"/>
      <c r="C2933" s="188"/>
      <c r="D2933" s="1762" t="s">
        <v>2993</v>
      </c>
      <c r="E2933" s="1762"/>
      <c r="F2933" s="1762"/>
      <c r="G2933" s="188"/>
    </row>
    <row r="2936" spans="1:7" x14ac:dyDescent="0.2">
      <c r="A2936" s="1762" t="s">
        <v>752</v>
      </c>
      <c r="B2936" s="1762"/>
      <c r="C2936" s="1762"/>
      <c r="D2936" s="1762"/>
      <c r="E2936" s="1762"/>
      <c r="F2936" s="1762"/>
      <c r="G2936" s="1762"/>
    </row>
    <row r="2937" spans="1:7" x14ac:dyDescent="0.2">
      <c r="A2937" s="1762" t="s">
        <v>1</v>
      </c>
      <c r="B2937" s="1762"/>
      <c r="C2937" s="1762"/>
      <c r="D2937" s="1762"/>
      <c r="E2937" s="1762"/>
      <c r="F2937" s="1762"/>
      <c r="G2937" s="1762"/>
    </row>
    <row r="2938" spans="1:7" ht="12.6" customHeight="1" x14ac:dyDescent="0.2">
      <c r="A2938" s="1762" t="s">
        <v>1769</v>
      </c>
      <c r="B2938" s="1762"/>
      <c r="C2938" s="1762"/>
      <c r="D2938" s="1762"/>
      <c r="E2938" s="1762"/>
      <c r="F2938" s="1762"/>
      <c r="G2938" s="1762"/>
    </row>
    <row r="2939" spans="1:7" x14ac:dyDescent="0.2">
      <c r="A2939" s="192"/>
      <c r="B2939" s="188"/>
      <c r="C2939" s="188"/>
      <c r="D2939" s="188"/>
      <c r="E2939" s="188"/>
      <c r="F2939" s="227"/>
      <c r="G2939" s="187"/>
    </row>
    <row r="2940" spans="1:7" x14ac:dyDescent="0.2">
      <c r="A2940" s="218" t="s">
        <v>888</v>
      </c>
      <c r="B2940" s="218" t="s">
        <v>689</v>
      </c>
      <c r="C2940" s="218"/>
      <c r="D2940" s="218"/>
      <c r="E2940" s="190"/>
      <c r="F2940" s="218"/>
      <c r="G2940" s="458"/>
    </row>
    <row r="2941" spans="1:7" x14ac:dyDescent="0.2">
      <c r="A2941" s="218" t="s">
        <v>525</v>
      </c>
      <c r="B2941" s="218" t="s">
        <v>886</v>
      </c>
      <c r="C2941" s="218"/>
      <c r="D2941" s="218"/>
      <c r="E2941" s="558"/>
      <c r="F2941" s="218"/>
      <c r="G2941" s="458"/>
    </row>
    <row r="2942" spans="1:7" ht="60" x14ac:dyDescent="0.2">
      <c r="A2942" s="220" t="s">
        <v>526</v>
      </c>
      <c r="B2942" s="645" t="s">
        <v>1982</v>
      </c>
      <c r="C2942" s="218"/>
      <c r="D2942" s="218"/>
      <c r="E2942" s="445"/>
      <c r="F2942" s="218"/>
      <c r="G2942" s="458"/>
    </row>
    <row r="2943" spans="1:7" ht="24" x14ac:dyDescent="0.2">
      <c r="A2943" s="187" t="s">
        <v>502</v>
      </c>
      <c r="B2943" s="188" t="s">
        <v>61</v>
      </c>
      <c r="C2943" s="188"/>
      <c r="D2943" s="188"/>
      <c r="E2943" s="188"/>
      <c r="F2943" s="188"/>
      <c r="G2943" s="458"/>
    </row>
    <row r="2944" spans="1:7" x14ac:dyDescent="0.2">
      <c r="A2944" s="189"/>
      <c r="B2944" s="188"/>
      <c r="C2944" s="188"/>
      <c r="D2944" s="188"/>
      <c r="E2944" s="227"/>
      <c r="F2944" s="227"/>
      <c r="G2944" s="187"/>
    </row>
    <row r="2945" spans="1:19" ht="24" x14ac:dyDescent="0.2">
      <c r="A2945" s="198" t="s">
        <v>455</v>
      </c>
      <c r="B2945" s="198" t="s">
        <v>11</v>
      </c>
      <c r="C2945" s="1766" t="s">
        <v>12</v>
      </c>
      <c r="D2945" s="1766"/>
      <c r="E2945" s="267" t="s">
        <v>13</v>
      </c>
      <c r="F2945" s="198" t="s">
        <v>14</v>
      </c>
      <c r="G2945" s="461" t="s">
        <v>266</v>
      </c>
    </row>
    <row r="2946" spans="1:19" x14ac:dyDescent="0.2">
      <c r="A2946" s="197">
        <v>1</v>
      </c>
      <c r="B2946" s="197">
        <v>2</v>
      </c>
      <c r="C2946" s="1773">
        <v>3</v>
      </c>
      <c r="D2946" s="1774"/>
      <c r="E2946" s="2">
        <v>4</v>
      </c>
      <c r="F2946" s="205">
        <v>5</v>
      </c>
      <c r="G2946" s="448">
        <v>6</v>
      </c>
    </row>
    <row r="2947" spans="1:19" x14ac:dyDescent="0.2">
      <c r="A2947" s="391" t="s">
        <v>883</v>
      </c>
      <c r="B2947" s="360" t="s">
        <v>84</v>
      </c>
      <c r="C2947" s="1773">
        <v>3</v>
      </c>
      <c r="D2947" s="1774"/>
      <c r="E2947" s="178"/>
      <c r="F2947" s="178"/>
      <c r="G2947" s="198"/>
    </row>
    <row r="2948" spans="1:19" ht="24" x14ac:dyDescent="0.2">
      <c r="A2948" s="391" t="s">
        <v>882</v>
      </c>
      <c r="B2948" s="360" t="s">
        <v>890</v>
      </c>
      <c r="C2948" s="1773"/>
      <c r="D2948" s="1774"/>
      <c r="E2948" s="648"/>
      <c r="F2948" s="648"/>
      <c r="G2948" s="213"/>
    </row>
    <row r="2949" spans="1:19" ht="24" x14ac:dyDescent="0.2">
      <c r="A2949" s="391" t="s">
        <v>880</v>
      </c>
      <c r="B2949" s="649" t="s">
        <v>879</v>
      </c>
      <c r="C2949" s="1773"/>
      <c r="D2949" s="1774"/>
      <c r="E2949" s="215"/>
      <c r="F2949" s="648"/>
      <c r="G2949" s="213"/>
    </row>
    <row r="2950" spans="1:19" x14ac:dyDescent="0.2">
      <c r="A2950" s="212"/>
      <c r="B2950" s="204" t="s">
        <v>1983</v>
      </c>
      <c r="C2950" s="214">
        <v>200</v>
      </c>
      <c r="D2950" s="244" t="s">
        <v>110</v>
      </c>
      <c r="E2950" s="230">
        <v>6000</v>
      </c>
      <c r="F2950" s="648">
        <f>E2950*C2950</f>
        <v>1200000</v>
      </c>
      <c r="G2950" s="213" t="s">
        <v>1417</v>
      </c>
      <c r="Q2950" s="637">
        <f>F2950</f>
        <v>1200000</v>
      </c>
    </row>
    <row r="2951" spans="1:19" ht="21" customHeight="1" x14ac:dyDescent="0.2">
      <c r="A2951" s="212"/>
      <c r="B2951" s="204" t="s">
        <v>1984</v>
      </c>
      <c r="C2951" s="214">
        <v>5</v>
      </c>
      <c r="D2951" s="244" t="s">
        <v>110</v>
      </c>
      <c r="E2951" s="230">
        <v>200000</v>
      </c>
      <c r="F2951" s="648">
        <f>E2951*C2951</f>
        <v>1000000</v>
      </c>
      <c r="G2951" s="213" t="s">
        <v>1417</v>
      </c>
      <c r="Q2951" s="637">
        <f>F2951</f>
        <v>1000000</v>
      </c>
    </row>
    <row r="2952" spans="1:19" x14ac:dyDescent="0.2">
      <c r="A2952" s="212"/>
      <c r="B2952" s="217"/>
      <c r="C2952" s="214"/>
      <c r="D2952" s="244"/>
      <c r="E2952" s="215"/>
      <c r="F2952" s="650"/>
      <c r="G2952" s="213"/>
    </row>
    <row r="2953" spans="1:19" x14ac:dyDescent="0.2">
      <c r="A2953" s="217"/>
      <c r="B2953" s="217"/>
      <c r="C2953" s="214"/>
      <c r="D2953" s="244"/>
      <c r="E2953" s="215"/>
      <c r="F2953" s="449">
        <f t="shared" ref="F2953:F2961" si="43">E2953*C2953</f>
        <v>0</v>
      </c>
      <c r="G2953" s="369"/>
    </row>
    <row r="2954" spans="1:19" x14ac:dyDescent="0.2">
      <c r="A2954" s="391" t="s">
        <v>876</v>
      </c>
      <c r="B2954" s="536" t="s">
        <v>875</v>
      </c>
      <c r="C2954" s="214"/>
      <c r="D2954" s="244"/>
      <c r="E2954" s="230"/>
      <c r="F2954" s="449">
        <f t="shared" si="43"/>
        <v>0</v>
      </c>
      <c r="G2954" s="213"/>
    </row>
    <row r="2955" spans="1:19" ht="36" x14ac:dyDescent="0.2">
      <c r="A2955" s="391"/>
      <c r="B2955" s="423" t="s">
        <v>1985</v>
      </c>
      <c r="C2955" s="214">
        <v>39</v>
      </c>
      <c r="D2955" s="244" t="s">
        <v>480</v>
      </c>
      <c r="E2955" s="230">
        <v>12300</v>
      </c>
      <c r="F2955" s="449">
        <f>E2955*C2955</f>
        <v>479700</v>
      </c>
      <c r="G2955" s="213" t="s">
        <v>1409</v>
      </c>
      <c r="J2955" s="457"/>
      <c r="K2955" s="457">
        <f>F2955</f>
        <v>479700</v>
      </c>
      <c r="S2955" s="457"/>
    </row>
    <row r="2956" spans="1:19" x14ac:dyDescent="0.2">
      <c r="A2956" s="212"/>
      <c r="B2956" s="204" t="s">
        <v>1986</v>
      </c>
      <c r="C2956" s="205">
        <v>5</v>
      </c>
      <c r="D2956" s="206" t="s">
        <v>110</v>
      </c>
      <c r="E2956" s="230">
        <v>29000</v>
      </c>
      <c r="F2956" s="449">
        <f t="shared" si="43"/>
        <v>145000</v>
      </c>
      <c r="G2956" s="213" t="s">
        <v>1409</v>
      </c>
      <c r="J2956" s="457"/>
      <c r="K2956" s="457">
        <f t="shared" ref="K2956:K2962" si="44">F2956</f>
        <v>145000</v>
      </c>
      <c r="S2956" s="457"/>
    </row>
    <row r="2957" spans="1:19" x14ac:dyDescent="0.2">
      <c r="A2957" s="212"/>
      <c r="B2957" s="204" t="s">
        <v>119</v>
      </c>
      <c r="C2957" s="205">
        <v>6</v>
      </c>
      <c r="D2957" s="206" t="s">
        <v>110</v>
      </c>
      <c r="E2957" s="230">
        <v>9000</v>
      </c>
      <c r="F2957" s="449">
        <f>E2957*C2957</f>
        <v>54000</v>
      </c>
      <c r="G2957" s="213" t="s">
        <v>1409</v>
      </c>
      <c r="J2957" s="457"/>
      <c r="K2957" s="457">
        <f t="shared" si="44"/>
        <v>54000</v>
      </c>
      <c r="S2957" s="457"/>
    </row>
    <row r="2958" spans="1:19" x14ac:dyDescent="0.2">
      <c r="A2958" s="212"/>
      <c r="B2958" s="204" t="s">
        <v>621</v>
      </c>
      <c r="C2958" s="205">
        <v>6</v>
      </c>
      <c r="D2958" s="206" t="s">
        <v>110</v>
      </c>
      <c r="E2958" s="230">
        <v>67700</v>
      </c>
      <c r="F2958" s="449">
        <f t="shared" si="43"/>
        <v>406200</v>
      </c>
      <c r="G2958" s="213" t="s">
        <v>1409</v>
      </c>
      <c r="J2958" s="457"/>
      <c r="K2958" s="457">
        <f t="shared" si="44"/>
        <v>406200</v>
      </c>
      <c r="S2958" s="457"/>
    </row>
    <row r="2959" spans="1:19" x14ac:dyDescent="0.2">
      <c r="A2959" s="212"/>
      <c r="B2959" s="651" t="s">
        <v>1987</v>
      </c>
      <c r="C2959" s="652">
        <v>12</v>
      </c>
      <c r="D2959" s="653" t="s">
        <v>123</v>
      </c>
      <c r="E2959" s="654">
        <v>42200</v>
      </c>
      <c r="F2959" s="449">
        <f t="shared" si="43"/>
        <v>506400</v>
      </c>
      <c r="G2959" s="213" t="s">
        <v>1409</v>
      </c>
      <c r="J2959" s="457"/>
      <c r="K2959" s="457">
        <f t="shared" si="44"/>
        <v>506400</v>
      </c>
      <c r="S2959" s="457"/>
    </row>
    <row r="2960" spans="1:19" x14ac:dyDescent="0.2">
      <c r="A2960" s="212"/>
      <c r="B2960" s="248" t="s">
        <v>1988</v>
      </c>
      <c r="C2960" s="214">
        <v>12</v>
      </c>
      <c r="D2960" s="653" t="s">
        <v>95</v>
      </c>
      <c r="E2960" s="230">
        <v>117500</v>
      </c>
      <c r="F2960" s="449">
        <f t="shared" si="43"/>
        <v>1410000</v>
      </c>
      <c r="G2960" s="213" t="s">
        <v>1409</v>
      </c>
      <c r="J2960" s="457"/>
      <c r="K2960" s="457">
        <f t="shared" si="44"/>
        <v>1410000</v>
      </c>
      <c r="S2960" s="457"/>
    </row>
    <row r="2961" spans="1:19" x14ac:dyDescent="0.2">
      <c r="A2961" s="212"/>
      <c r="B2961" s="248" t="s">
        <v>892</v>
      </c>
      <c r="C2961" s="214">
        <v>12</v>
      </c>
      <c r="D2961" s="653" t="s">
        <v>300</v>
      </c>
      <c r="E2961" s="230">
        <v>53000</v>
      </c>
      <c r="F2961" s="449">
        <f t="shared" si="43"/>
        <v>636000</v>
      </c>
      <c r="G2961" s="213" t="s">
        <v>1409</v>
      </c>
      <c r="J2961" s="457"/>
      <c r="K2961" s="457">
        <f t="shared" si="44"/>
        <v>636000</v>
      </c>
      <c r="S2961" s="457"/>
    </row>
    <row r="2962" spans="1:19" x14ac:dyDescent="0.2">
      <c r="A2962" s="212"/>
      <c r="B2962" s="248" t="s">
        <v>893</v>
      </c>
      <c r="C2962" s="214">
        <v>6</v>
      </c>
      <c r="D2962" s="653" t="s">
        <v>95</v>
      </c>
      <c r="E2962" s="230">
        <v>179900</v>
      </c>
      <c r="F2962" s="449">
        <f>E2962*C2962</f>
        <v>1079400</v>
      </c>
      <c r="G2962" s="213" t="s">
        <v>1409</v>
      </c>
      <c r="K2962" s="457">
        <f t="shared" si="44"/>
        <v>1079400</v>
      </c>
      <c r="S2962" s="457"/>
    </row>
    <row r="2963" spans="1:19" x14ac:dyDescent="0.2">
      <c r="A2963" s="391" t="s">
        <v>1989</v>
      </c>
      <c r="B2963" s="362" t="s">
        <v>1990</v>
      </c>
      <c r="C2963" s="214"/>
      <c r="D2963" s="653"/>
      <c r="E2963" s="230"/>
      <c r="F2963" s="449"/>
      <c r="G2963" s="213"/>
      <c r="K2963" s="457"/>
      <c r="S2963" s="457"/>
    </row>
    <row r="2964" spans="1:19" x14ac:dyDescent="0.2">
      <c r="A2964" s="212"/>
      <c r="B2964" s="217" t="s">
        <v>1991</v>
      </c>
      <c r="C2964" s="214">
        <v>10</v>
      </c>
      <c r="D2964" s="244" t="s">
        <v>95</v>
      </c>
      <c r="E2964" s="655">
        <v>188000</v>
      </c>
      <c r="F2964" s="449">
        <f>E2964*C2964</f>
        <v>1880000</v>
      </c>
      <c r="G2964" s="213" t="s">
        <v>1409</v>
      </c>
      <c r="K2964" s="457">
        <f t="shared" ref="K2964:K2971" si="45">F2964</f>
        <v>1880000</v>
      </c>
    </row>
    <row r="2965" spans="1:19" x14ac:dyDescent="0.2">
      <c r="A2965" s="212"/>
      <c r="B2965" s="217" t="s">
        <v>1992</v>
      </c>
      <c r="C2965" s="214">
        <v>10</v>
      </c>
      <c r="D2965" s="244" t="s">
        <v>95</v>
      </c>
      <c r="E2965" s="655">
        <v>150000</v>
      </c>
      <c r="F2965" s="449">
        <f>E2965*C2965</f>
        <v>1500000</v>
      </c>
      <c r="G2965" s="213" t="s">
        <v>1409</v>
      </c>
      <c r="K2965" s="457">
        <f t="shared" si="45"/>
        <v>1500000</v>
      </c>
    </row>
    <row r="2966" spans="1:19" x14ac:dyDescent="0.2">
      <c r="A2966" s="212"/>
      <c r="B2966" s="217" t="s">
        <v>819</v>
      </c>
      <c r="C2966" s="214">
        <v>10</v>
      </c>
      <c r="D2966" s="244" t="s">
        <v>95</v>
      </c>
      <c r="E2966" s="655">
        <v>150000</v>
      </c>
      <c r="F2966" s="449">
        <f>E2966*C2966</f>
        <v>1500000</v>
      </c>
      <c r="G2966" s="213" t="s">
        <v>1409</v>
      </c>
      <c r="K2966" s="457">
        <f t="shared" si="45"/>
        <v>1500000</v>
      </c>
    </row>
    <row r="2967" spans="1:19" x14ac:dyDescent="0.2">
      <c r="A2967" s="212"/>
      <c r="B2967" s="217" t="s">
        <v>1993</v>
      </c>
      <c r="C2967" s="214">
        <v>10</v>
      </c>
      <c r="D2967" s="244" t="s">
        <v>95</v>
      </c>
      <c r="E2967" s="655">
        <v>161000</v>
      </c>
      <c r="F2967" s="449">
        <f>E2967*C2967</f>
        <v>1610000</v>
      </c>
      <c r="G2967" s="213" t="s">
        <v>1409</v>
      </c>
      <c r="K2967" s="457">
        <f t="shared" si="45"/>
        <v>1610000</v>
      </c>
    </row>
    <row r="2968" spans="1:19" x14ac:dyDescent="0.2">
      <c r="A2968" s="212"/>
      <c r="B2968" s="217" t="s">
        <v>871</v>
      </c>
      <c r="C2968" s="214">
        <v>10</v>
      </c>
      <c r="D2968" s="244" t="s">
        <v>870</v>
      </c>
      <c r="E2968" s="655">
        <v>35000</v>
      </c>
      <c r="F2968" s="449">
        <f>E2968*C2968</f>
        <v>350000</v>
      </c>
      <c r="G2968" s="213" t="s">
        <v>1409</v>
      </c>
      <c r="K2968" s="457">
        <f t="shared" si="45"/>
        <v>350000</v>
      </c>
    </row>
    <row r="2969" spans="1:19" x14ac:dyDescent="0.2">
      <c r="A2969" s="391" t="s">
        <v>866</v>
      </c>
      <c r="B2969" s="536" t="s">
        <v>511</v>
      </c>
      <c r="C2969" s="214"/>
      <c r="D2969" s="244"/>
      <c r="E2969" s="215"/>
      <c r="F2969" s="230"/>
      <c r="G2969" s="213"/>
      <c r="K2969" s="457"/>
    </row>
    <row r="2970" spans="1:19" x14ac:dyDescent="0.2">
      <c r="A2970" s="391" t="s">
        <v>2871</v>
      </c>
      <c r="B2970" s="536" t="s">
        <v>1488</v>
      </c>
      <c r="C2970" s="214"/>
      <c r="D2970" s="244"/>
      <c r="E2970" s="230"/>
      <c r="F2970" s="449"/>
      <c r="G2970" s="213"/>
      <c r="K2970" s="457"/>
    </row>
    <row r="2971" spans="1:19" ht="36" x14ac:dyDescent="0.2">
      <c r="A2971" s="217"/>
      <c r="B2971" s="213" t="s">
        <v>1994</v>
      </c>
      <c r="C2971" s="214">
        <f>20*12</f>
        <v>240</v>
      </c>
      <c r="D2971" s="244" t="s">
        <v>473</v>
      </c>
      <c r="E2971" s="230">
        <v>50000</v>
      </c>
      <c r="F2971" s="449">
        <f>E2971*C2971</f>
        <v>12000000</v>
      </c>
      <c r="G2971" s="213" t="s">
        <v>1409</v>
      </c>
      <c r="K2971" s="457">
        <f t="shared" si="45"/>
        <v>12000000</v>
      </c>
    </row>
    <row r="2972" spans="1:19" x14ac:dyDescent="0.2">
      <c r="A2972" s="217"/>
      <c r="B2972" s="213"/>
      <c r="C2972" s="214"/>
      <c r="D2972" s="244"/>
      <c r="E2972" s="230"/>
      <c r="F2972" s="449"/>
      <c r="G2972" s="369"/>
    </row>
    <row r="2973" spans="1:19" ht="13.5" customHeight="1" x14ac:dyDescent="0.2">
      <c r="A2973" s="217"/>
      <c r="B2973" s="1977" t="s">
        <v>847</v>
      </c>
      <c r="C2973" s="1977"/>
      <c r="D2973" s="1977"/>
      <c r="E2973" s="1977"/>
      <c r="F2973" s="230">
        <f>SUM(F2950:F2971)</f>
        <v>25756700</v>
      </c>
      <c r="G2973" s="213"/>
    </row>
    <row r="2974" spans="1:19" x14ac:dyDescent="0.2">
      <c r="A2974" s="1762" t="s">
        <v>549</v>
      </c>
      <c r="B2974" s="1762"/>
      <c r="C2974" s="188" t="s">
        <v>27</v>
      </c>
      <c r="D2974" s="1763" t="s">
        <v>1429</v>
      </c>
      <c r="E2974" s="1763"/>
      <c r="F2974" s="1763"/>
      <c r="G2974" s="188"/>
    </row>
    <row r="2975" spans="1:19" x14ac:dyDescent="0.2">
      <c r="A2975" s="1762" t="s">
        <v>28</v>
      </c>
      <c r="B2975" s="1762"/>
      <c r="C2975" s="188"/>
      <c r="D2975" s="1764" t="s">
        <v>2834</v>
      </c>
      <c r="E2975" s="1764"/>
      <c r="F2975" s="1764"/>
      <c r="G2975" s="188"/>
    </row>
    <row r="2976" spans="1:19" x14ac:dyDescent="0.2">
      <c r="A2976" s="186"/>
      <c r="B2976" s="187"/>
      <c r="C2976" s="188"/>
      <c r="D2976" s="189"/>
      <c r="E2976" s="218"/>
      <c r="F2976" s="218"/>
      <c r="G2976" s="188"/>
    </row>
    <row r="2977" spans="1:7" x14ac:dyDescent="0.2">
      <c r="A2977" s="186"/>
      <c r="B2977" s="187"/>
      <c r="C2977" s="188"/>
      <c r="D2977" s="189"/>
      <c r="E2977" s="218"/>
      <c r="F2977" s="218"/>
      <c r="G2977" s="188"/>
    </row>
    <row r="2978" spans="1:7" x14ac:dyDescent="0.2">
      <c r="A2978" s="1762"/>
      <c r="B2978" s="1762"/>
      <c r="C2978" s="188"/>
      <c r="D2978" s="189"/>
      <c r="E2978" s="1762"/>
      <c r="F2978" s="1762"/>
      <c r="G2978" s="188"/>
    </row>
    <row r="2979" spans="1:7" x14ac:dyDescent="0.2">
      <c r="A2979" s="1762" t="s">
        <v>29</v>
      </c>
      <c r="B2979" s="1762"/>
      <c r="C2979" s="188"/>
      <c r="D2979" s="1762" t="s">
        <v>2993</v>
      </c>
      <c r="E2979" s="1762"/>
      <c r="F2979" s="1762"/>
      <c r="G2979" s="188"/>
    </row>
    <row r="2981" spans="1:7" x14ac:dyDescent="0.2">
      <c r="A2981" s="1762" t="s">
        <v>752</v>
      </c>
      <c r="B2981" s="1762"/>
      <c r="C2981" s="1762"/>
      <c r="D2981" s="1762"/>
      <c r="E2981" s="1762"/>
      <c r="F2981" s="1762"/>
      <c r="G2981" s="1762"/>
    </row>
    <row r="2982" spans="1:7" x14ac:dyDescent="0.2">
      <c r="A2982" s="1762" t="s">
        <v>1</v>
      </c>
      <c r="B2982" s="1762"/>
      <c r="C2982" s="1762"/>
      <c r="D2982" s="1762"/>
      <c r="E2982" s="1762"/>
      <c r="F2982" s="1762"/>
      <c r="G2982" s="1762"/>
    </row>
    <row r="2983" spans="1:7" x14ac:dyDescent="0.2">
      <c r="A2983" s="1762" t="s">
        <v>1769</v>
      </c>
      <c r="B2983" s="1762"/>
      <c r="C2983" s="1762"/>
      <c r="D2983" s="1762"/>
      <c r="E2983" s="1762"/>
      <c r="F2983" s="1762"/>
      <c r="G2983" s="1762"/>
    </row>
    <row r="2984" spans="1:7" x14ac:dyDescent="0.2">
      <c r="A2984" s="192"/>
      <c r="B2984" s="188"/>
      <c r="C2984" s="188"/>
      <c r="D2984" s="188"/>
      <c r="E2984" s="188"/>
      <c r="F2984" s="227"/>
      <c r="G2984" s="187"/>
    </row>
    <row r="2985" spans="1:7" x14ac:dyDescent="0.2">
      <c r="A2985" s="218" t="s">
        <v>524</v>
      </c>
      <c r="B2985" s="218" t="s">
        <v>689</v>
      </c>
      <c r="C2985" s="218"/>
      <c r="D2985" s="218"/>
      <c r="E2985" s="190" t="s">
        <v>6</v>
      </c>
      <c r="F2985" s="218"/>
      <c r="G2985" s="458"/>
    </row>
    <row r="2986" spans="1:7" x14ac:dyDescent="0.2">
      <c r="A2986" s="218" t="s">
        <v>525</v>
      </c>
      <c r="B2986" s="218" t="s">
        <v>886</v>
      </c>
      <c r="C2986" s="218"/>
      <c r="D2986" s="218"/>
      <c r="E2986" s="558" t="s">
        <v>9</v>
      </c>
      <c r="F2986" s="218"/>
      <c r="G2986" s="458"/>
    </row>
    <row r="2987" spans="1:7" ht="24" x14ac:dyDescent="0.2">
      <c r="A2987" s="220" t="s">
        <v>526</v>
      </c>
      <c r="B2987" s="187" t="s">
        <v>900</v>
      </c>
      <c r="C2987" s="187"/>
      <c r="D2987" s="218"/>
      <c r="E2987" s="445"/>
      <c r="F2987" s="218"/>
      <c r="G2987" s="458"/>
    </row>
    <row r="2988" spans="1:7" ht="24" x14ac:dyDescent="0.2">
      <c r="A2988" s="187" t="s">
        <v>502</v>
      </c>
      <c r="B2988" s="188" t="s">
        <v>61</v>
      </c>
      <c r="C2988" s="188"/>
      <c r="D2988" s="188"/>
      <c r="E2988" s="188"/>
      <c r="F2988" s="188"/>
      <c r="G2988" s="458"/>
    </row>
    <row r="2989" spans="1:7" x14ac:dyDescent="0.2">
      <c r="G2989" s="458"/>
    </row>
    <row r="2990" spans="1:7" ht="24" x14ac:dyDescent="0.2">
      <c r="A2990" s="198" t="s">
        <v>265</v>
      </c>
      <c r="B2990" s="198" t="s">
        <v>11</v>
      </c>
      <c r="C2990" s="1766" t="s">
        <v>12</v>
      </c>
      <c r="D2990" s="1766"/>
      <c r="E2990" s="267" t="s">
        <v>13</v>
      </c>
      <c r="F2990" s="198" t="s">
        <v>14</v>
      </c>
      <c r="G2990" s="461" t="s">
        <v>266</v>
      </c>
    </row>
    <row r="2991" spans="1:7" x14ac:dyDescent="0.2">
      <c r="A2991" s="197">
        <v>1</v>
      </c>
      <c r="B2991" s="197">
        <v>2</v>
      </c>
      <c r="C2991" s="1773">
        <v>3</v>
      </c>
      <c r="D2991" s="1774"/>
      <c r="E2991" s="2">
        <v>4</v>
      </c>
      <c r="F2991" s="205">
        <v>5</v>
      </c>
      <c r="G2991" s="448">
        <v>6</v>
      </c>
    </row>
    <row r="2992" spans="1:7" x14ac:dyDescent="0.2">
      <c r="A2992" s="391" t="s">
        <v>883</v>
      </c>
      <c r="B2992" s="361" t="s">
        <v>899</v>
      </c>
      <c r="C2992" s="205"/>
      <c r="D2992" s="206"/>
      <c r="E2992" s="175"/>
      <c r="F2992" s="175"/>
      <c r="G2992" s="198"/>
    </row>
    <row r="2993" spans="1:22" ht="38.25" customHeight="1" x14ac:dyDescent="0.2">
      <c r="A2993" s="391" t="s">
        <v>882</v>
      </c>
      <c r="B2993" s="533" t="s">
        <v>86</v>
      </c>
      <c r="C2993" s="656"/>
      <c r="D2993" s="244"/>
      <c r="E2993" s="230"/>
      <c r="F2993" s="230"/>
      <c r="G2993" s="213"/>
    </row>
    <row r="2994" spans="1:22" ht="48" x14ac:dyDescent="0.2">
      <c r="A2994" s="391" t="s">
        <v>881</v>
      </c>
      <c r="B2994" s="361" t="s">
        <v>898</v>
      </c>
      <c r="C2994" s="214"/>
      <c r="D2994" s="244"/>
      <c r="E2994" s="230"/>
      <c r="F2994" s="230"/>
      <c r="G2994" s="213"/>
    </row>
    <row r="2995" spans="1:22" ht="24" x14ac:dyDescent="0.2">
      <c r="A2995" s="212"/>
      <c r="B2995" s="657" t="s">
        <v>1995</v>
      </c>
      <c r="C2995" s="205">
        <v>12</v>
      </c>
      <c r="D2995" s="206" t="s">
        <v>184</v>
      </c>
      <c r="E2995" s="631">
        <v>300000</v>
      </c>
      <c r="F2995" s="631">
        <f>C2995*E2995</f>
        <v>3600000</v>
      </c>
      <c r="G2995" s="213" t="s">
        <v>1845</v>
      </c>
      <c r="L2995" s="637">
        <f>F2995</f>
        <v>3600000</v>
      </c>
    </row>
    <row r="2996" spans="1:22" x14ac:dyDescent="0.2">
      <c r="A2996" s="391" t="s">
        <v>876</v>
      </c>
      <c r="B2996" s="635" t="s">
        <v>875</v>
      </c>
      <c r="C2996" s="656"/>
      <c r="D2996" s="206"/>
      <c r="E2996" s="631"/>
      <c r="F2996" s="631"/>
      <c r="G2996" s="213"/>
    </row>
    <row r="2997" spans="1:22" ht="24" x14ac:dyDescent="0.2">
      <c r="A2997" s="391"/>
      <c r="B2997" s="635" t="s">
        <v>1747</v>
      </c>
      <c r="C2997" s="1652">
        <v>1</v>
      </c>
      <c r="D2997" s="206" t="s">
        <v>115</v>
      </c>
      <c r="E2997" s="631">
        <v>135932.90999996662</v>
      </c>
      <c r="F2997" s="631">
        <f>E2997*C2997</f>
        <v>135932.90999996662</v>
      </c>
      <c r="G2997" s="213" t="s">
        <v>2571</v>
      </c>
      <c r="U2997" s="637">
        <f>F2997</f>
        <v>135932.90999996662</v>
      </c>
    </row>
    <row r="2998" spans="1:22" ht="24" x14ac:dyDescent="0.2">
      <c r="A2998" s="212"/>
      <c r="B2998" s="658" t="s">
        <v>1996</v>
      </c>
      <c r="C2998" s="205">
        <v>2</v>
      </c>
      <c r="D2998" s="206" t="s">
        <v>110</v>
      </c>
      <c r="E2998" s="631">
        <v>120000</v>
      </c>
      <c r="F2998" s="631">
        <f>C2998*E2998</f>
        <v>240000</v>
      </c>
      <c r="G2998" s="213" t="s">
        <v>2571</v>
      </c>
      <c r="L2998" s="637"/>
      <c r="T2998" s="637"/>
      <c r="U2998" s="637">
        <f>F2998</f>
        <v>240000</v>
      </c>
    </row>
    <row r="2999" spans="1:22" x14ac:dyDescent="0.2">
      <c r="A2999" s="212"/>
      <c r="B2999" s="657" t="s">
        <v>897</v>
      </c>
      <c r="C2999" s="205">
        <v>190</v>
      </c>
      <c r="D2999" s="206" t="s">
        <v>110</v>
      </c>
      <c r="E2999" s="631">
        <v>10000</v>
      </c>
      <c r="F2999" s="631">
        <f>C2999*E2999</f>
        <v>1900000</v>
      </c>
      <c r="G2999" s="213" t="s">
        <v>1845</v>
      </c>
      <c r="L2999" s="637">
        <f>F2999</f>
        <v>1900000</v>
      </c>
      <c r="U2999" s="637"/>
    </row>
    <row r="3000" spans="1:22" ht="30.75" customHeight="1" x14ac:dyDescent="0.2">
      <c r="A3000" s="391" t="s">
        <v>1989</v>
      </c>
      <c r="B3000" s="659" t="s">
        <v>1997</v>
      </c>
      <c r="C3000" s="205"/>
      <c r="D3000" s="206"/>
      <c r="E3000" s="631"/>
      <c r="F3000" s="631"/>
      <c r="G3000" s="213"/>
    </row>
    <row r="3001" spans="1:22" ht="24" x14ac:dyDescent="0.2">
      <c r="A3001" s="391"/>
      <c r="B3001" s="453" t="s">
        <v>1998</v>
      </c>
      <c r="C3001" s="205">
        <v>3</v>
      </c>
      <c r="D3001" s="206" t="s">
        <v>178</v>
      </c>
      <c r="E3001" s="639">
        <v>250000</v>
      </c>
      <c r="F3001" s="631">
        <f>C3001*E3001</f>
        <v>750000</v>
      </c>
      <c r="G3001" s="213" t="s">
        <v>1845</v>
      </c>
      <c r="L3001" s="637">
        <f>F3001</f>
        <v>750000</v>
      </c>
    </row>
    <row r="3002" spans="1:22" ht="24" x14ac:dyDescent="0.2">
      <c r="A3002" s="391"/>
      <c r="B3002" s="453" t="s">
        <v>819</v>
      </c>
      <c r="C3002" s="205">
        <v>3</v>
      </c>
      <c r="D3002" s="206" t="s">
        <v>95</v>
      </c>
      <c r="E3002" s="639">
        <v>150000</v>
      </c>
      <c r="F3002" s="631">
        <f>C3002*E3002</f>
        <v>450000</v>
      </c>
      <c r="G3002" s="213" t="s">
        <v>2571</v>
      </c>
      <c r="L3002" s="637"/>
      <c r="U3002" s="637">
        <f>F3002</f>
        <v>450000</v>
      </c>
    </row>
    <row r="3003" spans="1:22" x14ac:dyDescent="0.2">
      <c r="A3003" s="391"/>
      <c r="B3003" s="453" t="s">
        <v>1993</v>
      </c>
      <c r="C3003" s="205">
        <v>3</v>
      </c>
      <c r="D3003" s="206" t="s">
        <v>95</v>
      </c>
      <c r="E3003" s="639">
        <v>250000</v>
      </c>
      <c r="F3003" s="631">
        <f>C3003*E3003</f>
        <v>750000</v>
      </c>
      <c r="G3003" s="213" t="s">
        <v>1845</v>
      </c>
      <c r="L3003" s="637">
        <f>F3003</f>
        <v>750000</v>
      </c>
    </row>
    <row r="3004" spans="1:22" ht="24" x14ac:dyDescent="0.2">
      <c r="A3004" s="391"/>
      <c r="B3004" s="453" t="s">
        <v>872</v>
      </c>
      <c r="C3004" s="205">
        <v>3</v>
      </c>
      <c r="D3004" s="206" t="s">
        <v>95</v>
      </c>
      <c r="E3004" s="639">
        <v>300000</v>
      </c>
      <c r="F3004" s="631">
        <f>C3004*E3004</f>
        <v>900000</v>
      </c>
      <c r="G3004" s="213" t="s">
        <v>1845</v>
      </c>
      <c r="L3004" s="637">
        <f>F3004</f>
        <v>900000</v>
      </c>
    </row>
    <row r="3005" spans="1:22" ht="24" x14ac:dyDescent="0.2">
      <c r="A3005" s="391"/>
      <c r="B3005" s="453" t="s">
        <v>871</v>
      </c>
      <c r="C3005" s="205">
        <v>3</v>
      </c>
      <c r="D3005" s="206" t="s">
        <v>870</v>
      </c>
      <c r="E3005" s="639">
        <v>35000</v>
      </c>
      <c r="F3005" s="631">
        <f>C3005*E3005</f>
        <v>105000</v>
      </c>
      <c r="G3005" s="213" t="s">
        <v>2571</v>
      </c>
      <c r="L3005" s="637"/>
      <c r="U3005" s="637">
        <f>F3005</f>
        <v>105000</v>
      </c>
    </row>
    <row r="3006" spans="1:22" x14ac:dyDescent="0.2">
      <c r="A3006" s="391" t="s">
        <v>866</v>
      </c>
      <c r="B3006" s="660" t="s">
        <v>896</v>
      </c>
      <c r="C3006" s="205"/>
      <c r="D3006" s="206"/>
      <c r="E3006" s="631"/>
      <c r="F3006" s="631"/>
      <c r="G3006" s="213"/>
      <c r="L3006" s="637"/>
    </row>
    <row r="3007" spans="1:22" x14ac:dyDescent="0.2">
      <c r="A3007" s="391" t="s">
        <v>2871</v>
      </c>
      <c r="B3007" s="533" t="s">
        <v>1488</v>
      </c>
      <c r="C3007" s="656"/>
      <c r="D3007" s="206"/>
      <c r="E3007" s="631"/>
      <c r="F3007" s="631"/>
      <c r="G3007" s="213"/>
      <c r="L3007" s="637"/>
    </row>
    <row r="3008" spans="1:22" ht="24" x14ac:dyDescent="0.2">
      <c r="A3008" s="212"/>
      <c r="B3008" s="238" t="s">
        <v>1999</v>
      </c>
      <c r="C3008" s="205">
        <f>2*3</f>
        <v>6</v>
      </c>
      <c r="D3008" s="206" t="s">
        <v>21</v>
      </c>
      <c r="E3008" s="631">
        <v>1600000</v>
      </c>
      <c r="F3008" s="631">
        <f>C3008*E3008</f>
        <v>9600000</v>
      </c>
      <c r="G3008" s="213" t="s">
        <v>2571</v>
      </c>
      <c r="L3008" s="637"/>
      <c r="U3008" s="637">
        <f>F3008</f>
        <v>9600000</v>
      </c>
      <c r="V3008" s="457"/>
    </row>
    <row r="3009" spans="1:21" ht="24" x14ac:dyDescent="0.2">
      <c r="A3009" s="212"/>
      <c r="B3009" s="238" t="s">
        <v>2000</v>
      </c>
      <c r="C3009" s="205">
        <f>2*9</f>
        <v>18</v>
      </c>
      <c r="D3009" s="206" t="s">
        <v>21</v>
      </c>
      <c r="E3009" s="631">
        <v>1600000</v>
      </c>
      <c r="F3009" s="631">
        <f>C3009*E3009</f>
        <v>28800000</v>
      </c>
      <c r="G3009" s="213" t="s">
        <v>1845</v>
      </c>
      <c r="L3009" s="637">
        <f>F3009</f>
        <v>28800000</v>
      </c>
    </row>
    <row r="3010" spans="1:21" ht="24" x14ac:dyDescent="0.2">
      <c r="A3010" s="212"/>
      <c r="B3010" s="238" t="s">
        <v>2001</v>
      </c>
      <c r="C3010" s="205">
        <v>3</v>
      </c>
      <c r="D3010" s="206" t="s">
        <v>21</v>
      </c>
      <c r="E3010" s="631">
        <v>1600000</v>
      </c>
      <c r="F3010" s="631">
        <f>C3010*E3010</f>
        <v>4800000</v>
      </c>
      <c r="G3010" s="213" t="s">
        <v>2570</v>
      </c>
      <c r="L3010" s="637"/>
      <c r="T3010" s="637">
        <f>F3010</f>
        <v>4800000</v>
      </c>
      <c r="U3010" s="637"/>
    </row>
    <row r="3011" spans="1:21" ht="24" x14ac:dyDescent="0.2">
      <c r="A3011" s="212"/>
      <c r="B3011" s="238" t="s">
        <v>2002</v>
      </c>
      <c r="C3011" s="205">
        <v>9</v>
      </c>
      <c r="D3011" s="206" t="s">
        <v>21</v>
      </c>
      <c r="E3011" s="631">
        <v>1600000</v>
      </c>
      <c r="F3011" s="631">
        <f>C3011*E3011</f>
        <v>14400000</v>
      </c>
      <c r="G3011" s="213" t="s">
        <v>1845</v>
      </c>
      <c r="L3011" s="637">
        <f>F3011</f>
        <v>14400000</v>
      </c>
    </row>
    <row r="3012" spans="1:21" ht="24" x14ac:dyDescent="0.2">
      <c r="A3012" s="212"/>
      <c r="B3012" s="238" t="s">
        <v>2003</v>
      </c>
      <c r="C3012" s="205">
        <f>16*17</f>
        <v>272</v>
      </c>
      <c r="D3012" s="206" t="s">
        <v>419</v>
      </c>
      <c r="E3012" s="631">
        <v>100000</v>
      </c>
      <c r="F3012" s="631">
        <f>E3012*C3012</f>
        <v>27200000</v>
      </c>
      <c r="G3012" s="213" t="s">
        <v>1845</v>
      </c>
      <c r="L3012" s="637">
        <f>F3012</f>
        <v>27200000</v>
      </c>
    </row>
    <row r="3013" spans="1:21" x14ac:dyDescent="0.2">
      <c r="A3013" s="212"/>
      <c r="B3013" s="238"/>
      <c r="C3013" s="205"/>
      <c r="D3013" s="206"/>
      <c r="E3013" s="631"/>
      <c r="F3013" s="631"/>
      <c r="G3013" s="213"/>
    </row>
    <row r="3014" spans="1:21" x14ac:dyDescent="0.2">
      <c r="A3014" s="391" t="s">
        <v>857</v>
      </c>
      <c r="B3014" s="361" t="s">
        <v>215</v>
      </c>
      <c r="C3014" s="205"/>
      <c r="D3014" s="206"/>
      <c r="E3014" s="631"/>
      <c r="F3014" s="631"/>
      <c r="G3014" s="213"/>
    </row>
    <row r="3015" spans="1:21" ht="24" x14ac:dyDescent="0.2">
      <c r="A3015" s="391" t="s">
        <v>856</v>
      </c>
      <c r="B3015" s="361" t="s">
        <v>895</v>
      </c>
      <c r="C3015" s="205"/>
      <c r="D3015" s="206"/>
      <c r="E3015" s="631"/>
      <c r="F3015" s="631"/>
      <c r="G3015" s="213"/>
    </row>
    <row r="3016" spans="1:21" ht="24" x14ac:dyDescent="0.2">
      <c r="A3016" s="212"/>
      <c r="B3016" s="657" t="s">
        <v>2004</v>
      </c>
      <c r="C3016" s="205">
        <v>16</v>
      </c>
      <c r="D3016" s="206" t="s">
        <v>894</v>
      </c>
      <c r="E3016" s="631">
        <v>30000</v>
      </c>
      <c r="F3016" s="631">
        <f>C3016*E3016</f>
        <v>480000</v>
      </c>
      <c r="G3016" s="213" t="s">
        <v>1845</v>
      </c>
      <c r="L3016" s="637">
        <f>F3016</f>
        <v>480000</v>
      </c>
    </row>
    <row r="3017" spans="1:21" ht="24" x14ac:dyDescent="0.2">
      <c r="A3017" s="212"/>
      <c r="B3017" s="657" t="s">
        <v>2005</v>
      </c>
      <c r="C3017" s="205">
        <v>1</v>
      </c>
      <c r="D3017" s="206" t="s">
        <v>195</v>
      </c>
      <c r="E3017" s="631">
        <v>5416231.7999999998</v>
      </c>
      <c r="F3017" s="631">
        <f>C3017*E3017</f>
        <v>5416231.7999999998</v>
      </c>
      <c r="G3017" s="213" t="s">
        <v>1845</v>
      </c>
      <c r="H3017" s="457"/>
      <c r="L3017" s="637">
        <f>F3017</f>
        <v>5416231.7999999998</v>
      </c>
    </row>
    <row r="3018" spans="1:21" ht="24" x14ac:dyDescent="0.2">
      <c r="A3018" s="212"/>
      <c r="B3018" s="657" t="s">
        <v>2006</v>
      </c>
      <c r="C3018" s="205">
        <v>2</v>
      </c>
      <c r="D3018" s="206" t="s">
        <v>115</v>
      </c>
      <c r="E3018" s="631">
        <v>1000000</v>
      </c>
      <c r="F3018" s="631">
        <f>C3018*E3018</f>
        <v>2000000</v>
      </c>
      <c r="G3018" s="213" t="s">
        <v>1845</v>
      </c>
      <c r="L3018" s="637">
        <f>F3018</f>
        <v>2000000</v>
      </c>
    </row>
    <row r="3019" spans="1:21" x14ac:dyDescent="0.2">
      <c r="A3019" s="212"/>
      <c r="B3019" s="661"/>
      <c r="C3019" s="662"/>
      <c r="D3019" s="662"/>
      <c r="E3019" s="663"/>
      <c r="F3019" s="230"/>
      <c r="G3019" s="213"/>
    </row>
    <row r="3020" spans="1:21" x14ac:dyDescent="0.2">
      <c r="A3020" s="197"/>
      <c r="B3020" s="1791" t="s">
        <v>26</v>
      </c>
      <c r="C3020" s="1792"/>
      <c r="D3020" s="1792"/>
      <c r="E3020" s="1793"/>
      <c r="F3020" s="230">
        <f>SUM(F2992:F3018)</f>
        <v>101527164.70999996</v>
      </c>
      <c r="G3020" s="213"/>
      <c r="L3020" s="637"/>
    </row>
    <row r="3021" spans="1:21" x14ac:dyDescent="0.2">
      <c r="A3021" s="1762" t="s">
        <v>549</v>
      </c>
      <c r="B3021" s="1762"/>
      <c r="C3021" s="188" t="s">
        <v>27</v>
      </c>
      <c r="D3021" s="1763" t="s">
        <v>1429</v>
      </c>
      <c r="E3021" s="1763"/>
      <c r="F3021" s="1763"/>
      <c r="G3021" s="188"/>
    </row>
    <row r="3022" spans="1:21" x14ac:dyDescent="0.2">
      <c r="A3022" s="1762" t="s">
        <v>28</v>
      </c>
      <c r="B3022" s="1762"/>
      <c r="C3022" s="188"/>
      <c r="D3022" s="1764" t="s">
        <v>2834</v>
      </c>
      <c r="E3022" s="1764"/>
      <c r="F3022" s="1764"/>
      <c r="G3022" s="188"/>
    </row>
    <row r="3023" spans="1:21" x14ac:dyDescent="0.2">
      <c r="A3023" s="186"/>
      <c r="B3023" s="187"/>
      <c r="C3023" s="188"/>
      <c r="D3023" s="189"/>
      <c r="E3023" s="218"/>
      <c r="F3023" s="218"/>
      <c r="G3023" s="188"/>
    </row>
    <row r="3024" spans="1:21" x14ac:dyDescent="0.2">
      <c r="A3024" s="186"/>
      <c r="B3024" s="187"/>
      <c r="C3024" s="188"/>
      <c r="D3024" s="189"/>
      <c r="E3024" s="218"/>
      <c r="F3024" s="218"/>
      <c r="G3024" s="188"/>
    </row>
    <row r="3025" spans="1:7" x14ac:dyDescent="0.2">
      <c r="A3025" s="1762"/>
      <c r="B3025" s="1762"/>
      <c r="C3025" s="188"/>
      <c r="D3025" s="189"/>
      <c r="E3025" s="1762"/>
      <c r="F3025" s="1762"/>
      <c r="G3025" s="188"/>
    </row>
    <row r="3026" spans="1:7" x14ac:dyDescent="0.2">
      <c r="A3026" s="1762" t="s">
        <v>29</v>
      </c>
      <c r="B3026" s="1762"/>
      <c r="C3026" s="188"/>
      <c r="D3026" s="1762" t="s">
        <v>2993</v>
      </c>
      <c r="E3026" s="1762"/>
      <c r="F3026" s="1762"/>
      <c r="G3026" s="188"/>
    </row>
    <row r="3027" spans="1:7" customFormat="1" ht="15" x14ac:dyDescent="0.25"/>
    <row r="3028" spans="1:7" customFormat="1" ht="15" x14ac:dyDescent="0.25">
      <c r="A3028" s="1937" t="s">
        <v>752</v>
      </c>
      <c r="B3028" s="1937"/>
      <c r="C3028" s="1937"/>
      <c r="D3028" s="1937"/>
      <c r="E3028" s="1937"/>
      <c r="F3028" s="1937"/>
      <c r="G3028" s="1937"/>
    </row>
    <row r="3029" spans="1:7" customFormat="1" ht="15" x14ac:dyDescent="0.25">
      <c r="A3029" s="1937" t="s">
        <v>1</v>
      </c>
      <c r="B3029" s="1937"/>
      <c r="C3029" s="1937"/>
      <c r="D3029" s="1937"/>
      <c r="E3029" s="1937"/>
      <c r="F3029" s="1937"/>
      <c r="G3029" s="1937"/>
    </row>
    <row r="3030" spans="1:7" customFormat="1" ht="15" x14ac:dyDescent="0.25">
      <c r="A3030" s="1937" t="s">
        <v>1769</v>
      </c>
      <c r="B3030" s="1937"/>
      <c r="C3030" s="1937"/>
      <c r="D3030" s="1937"/>
      <c r="E3030" s="1937"/>
      <c r="F3030" s="1937"/>
      <c r="G3030" s="1937"/>
    </row>
    <row r="3031" spans="1:7" customFormat="1" ht="15" x14ac:dyDescent="0.25">
      <c r="A3031" s="307"/>
      <c r="B3031" s="301"/>
      <c r="C3031" s="301"/>
      <c r="D3031" s="301"/>
      <c r="E3031" s="301"/>
      <c r="F3031" s="306"/>
      <c r="G3031" s="310"/>
    </row>
    <row r="3032" spans="1:7" customFormat="1" ht="15" x14ac:dyDescent="0.25">
      <c r="A3032" s="664" t="s">
        <v>524</v>
      </c>
      <c r="B3032" s="664" t="s">
        <v>689</v>
      </c>
      <c r="C3032" s="664"/>
      <c r="D3032" s="664"/>
      <c r="E3032" s="303" t="s">
        <v>6</v>
      </c>
      <c r="F3032" s="664"/>
      <c r="G3032" s="665"/>
    </row>
    <row r="3033" spans="1:7" customFormat="1" ht="15" x14ac:dyDescent="0.25">
      <c r="A3033" s="664" t="s">
        <v>525</v>
      </c>
      <c r="B3033" s="664" t="s">
        <v>886</v>
      </c>
      <c r="C3033" s="664"/>
      <c r="D3033" s="664"/>
      <c r="E3033" s="666" t="s">
        <v>9</v>
      </c>
      <c r="F3033" s="664"/>
      <c r="G3033" s="665"/>
    </row>
    <row r="3034" spans="1:7" customFormat="1" ht="30" x14ac:dyDescent="0.25">
      <c r="A3034" s="667" t="s">
        <v>526</v>
      </c>
      <c r="B3034" s="310" t="s">
        <v>2417</v>
      </c>
      <c r="C3034" s="310"/>
      <c r="D3034" s="664"/>
      <c r="E3034" s="668"/>
      <c r="F3034" s="664"/>
      <c r="G3034" s="665"/>
    </row>
    <row r="3035" spans="1:7" customFormat="1" ht="30" x14ac:dyDescent="0.25">
      <c r="A3035" s="310" t="s">
        <v>502</v>
      </c>
      <c r="B3035" s="301" t="s">
        <v>61</v>
      </c>
      <c r="C3035" s="301"/>
      <c r="D3035" s="301"/>
      <c r="E3035" s="301"/>
      <c r="F3035" s="301"/>
      <c r="G3035" s="665"/>
    </row>
    <row r="3036" spans="1:7" customFormat="1" ht="15" x14ac:dyDescent="0.25">
      <c r="A3036" s="223"/>
      <c r="B3036" s="223"/>
      <c r="C3036" s="223"/>
      <c r="D3036" s="223"/>
      <c r="E3036" s="223"/>
      <c r="F3036" s="223"/>
      <c r="G3036" s="665"/>
    </row>
    <row r="3037" spans="1:7" customFormat="1" ht="45" x14ac:dyDescent="0.25">
      <c r="A3037" s="311" t="s">
        <v>265</v>
      </c>
      <c r="B3037" s="311" t="s">
        <v>11</v>
      </c>
      <c r="C3037" s="1815" t="s">
        <v>12</v>
      </c>
      <c r="D3037" s="1815"/>
      <c r="E3037" s="312" t="s">
        <v>13</v>
      </c>
      <c r="F3037" s="311" t="s">
        <v>14</v>
      </c>
      <c r="G3037" s="669" t="s">
        <v>266</v>
      </c>
    </row>
    <row r="3038" spans="1:7" customFormat="1" ht="15" x14ac:dyDescent="0.25">
      <c r="A3038" s="323">
        <v>1</v>
      </c>
      <c r="B3038" s="323">
        <v>2</v>
      </c>
      <c r="C3038" s="1838">
        <v>3</v>
      </c>
      <c r="D3038" s="1839"/>
      <c r="E3038" s="670">
        <v>4</v>
      </c>
      <c r="F3038" s="321">
        <v>5</v>
      </c>
      <c r="G3038" s="671">
        <v>6</v>
      </c>
    </row>
    <row r="3039" spans="1:7" customFormat="1" ht="28.5" x14ac:dyDescent="0.25">
      <c r="A3039" s="672" t="s">
        <v>883</v>
      </c>
      <c r="B3039" s="673" t="s">
        <v>899</v>
      </c>
      <c r="C3039" s="321"/>
      <c r="D3039" s="322"/>
      <c r="E3039" s="674"/>
      <c r="F3039" s="674"/>
      <c r="G3039" s="311"/>
    </row>
    <row r="3040" spans="1:7" customFormat="1" ht="28.5" x14ac:dyDescent="0.25">
      <c r="A3040" s="672" t="s">
        <v>882</v>
      </c>
      <c r="B3040" s="675" t="s">
        <v>86</v>
      </c>
      <c r="C3040" s="676"/>
      <c r="D3040" s="344"/>
      <c r="E3040" s="677"/>
      <c r="F3040" s="677"/>
      <c r="G3040" s="332"/>
    </row>
    <row r="3041" spans="1:20" customFormat="1" ht="28.5" x14ac:dyDescent="0.25">
      <c r="A3041" s="672" t="s">
        <v>876</v>
      </c>
      <c r="B3041" s="675" t="s">
        <v>875</v>
      </c>
      <c r="C3041" s="676"/>
      <c r="D3041" s="322"/>
      <c r="E3041" s="678"/>
      <c r="F3041" s="678"/>
      <c r="G3041" s="332"/>
    </row>
    <row r="3042" spans="1:20" customFormat="1" ht="15" x14ac:dyDescent="0.25">
      <c r="A3042" s="348"/>
      <c r="B3042" s="679" t="s">
        <v>1829</v>
      </c>
      <c r="C3042" s="321">
        <v>40</v>
      </c>
      <c r="D3042" s="322" t="s">
        <v>110</v>
      </c>
      <c r="E3042" s="678">
        <v>10000</v>
      </c>
      <c r="F3042" s="678">
        <f>C3042*E3042</f>
        <v>400000</v>
      </c>
      <c r="G3042" s="332"/>
    </row>
    <row r="3043" spans="1:20" customFormat="1" ht="15" x14ac:dyDescent="0.25">
      <c r="A3043" s="348"/>
      <c r="B3043" s="679" t="s">
        <v>1996</v>
      </c>
      <c r="C3043" s="321">
        <v>2</v>
      </c>
      <c r="D3043" s="322" t="s">
        <v>110</v>
      </c>
      <c r="E3043" s="678">
        <v>120000</v>
      </c>
      <c r="F3043" s="678">
        <f>C3043*E3043</f>
        <v>240000</v>
      </c>
      <c r="G3043" s="332"/>
    </row>
    <row r="3044" spans="1:20" customFormat="1" ht="15" x14ac:dyDescent="0.25">
      <c r="A3044" s="348"/>
      <c r="B3044" s="680" t="s">
        <v>873</v>
      </c>
      <c r="C3044" s="321">
        <v>2</v>
      </c>
      <c r="D3044" s="322" t="s">
        <v>110</v>
      </c>
      <c r="E3044" s="681">
        <v>160000</v>
      </c>
      <c r="F3044" s="678">
        <f>C3044*E3044</f>
        <v>320000</v>
      </c>
      <c r="G3044" s="332"/>
    </row>
    <row r="3045" spans="1:20" customFormat="1" ht="15" x14ac:dyDescent="0.25">
      <c r="A3045" s="348"/>
      <c r="B3045" s="680" t="s">
        <v>119</v>
      </c>
      <c r="C3045" s="321">
        <v>6</v>
      </c>
      <c r="D3045" s="322" t="s">
        <v>110</v>
      </c>
      <c r="E3045" s="681">
        <v>9000</v>
      </c>
      <c r="F3045" s="678">
        <f>C3045*E3045</f>
        <v>54000</v>
      </c>
      <c r="G3045" s="332"/>
    </row>
    <row r="3046" spans="1:20" customFormat="1" ht="15" customHeight="1" x14ac:dyDescent="0.25">
      <c r="A3046" s="348"/>
      <c r="B3046" s="682" t="s">
        <v>897</v>
      </c>
      <c r="C3046" s="321">
        <v>100</v>
      </c>
      <c r="D3046" s="322" t="s">
        <v>110</v>
      </c>
      <c r="E3046" s="678">
        <v>10000</v>
      </c>
      <c r="F3046" s="678">
        <f>C3046*E3046</f>
        <v>1000000</v>
      </c>
      <c r="G3046" s="332"/>
    </row>
    <row r="3047" spans="1:20" customFormat="1" ht="30.75" customHeight="1" x14ac:dyDescent="0.25">
      <c r="A3047" s="672" t="s">
        <v>876</v>
      </c>
      <c r="B3047" s="683" t="s">
        <v>1997</v>
      </c>
      <c r="C3047" s="321"/>
      <c r="D3047" s="322"/>
      <c r="E3047" s="678"/>
      <c r="F3047" s="678"/>
      <c r="G3047" s="332"/>
    </row>
    <row r="3048" spans="1:20" customFormat="1" ht="30" x14ac:dyDescent="0.25">
      <c r="A3048" s="672"/>
      <c r="B3048" s="684" t="s">
        <v>1998</v>
      </c>
      <c r="C3048" s="321">
        <v>10</v>
      </c>
      <c r="D3048" s="322" t="s">
        <v>178</v>
      </c>
      <c r="E3048" s="685">
        <v>250000</v>
      </c>
      <c r="F3048" s="678">
        <f>C3048*E3048</f>
        <v>2500000</v>
      </c>
      <c r="G3048" s="332"/>
    </row>
    <row r="3049" spans="1:20" customFormat="1" ht="15" x14ac:dyDescent="0.25">
      <c r="A3049" s="672"/>
      <c r="B3049" s="684" t="s">
        <v>819</v>
      </c>
      <c r="C3049" s="321">
        <v>10</v>
      </c>
      <c r="D3049" s="322" t="s">
        <v>95</v>
      </c>
      <c r="E3049" s="685">
        <v>150000</v>
      </c>
      <c r="F3049" s="678">
        <f>C3049*E3049</f>
        <v>1500000</v>
      </c>
      <c r="G3049" s="332"/>
    </row>
    <row r="3050" spans="1:20" customFormat="1" ht="15" x14ac:dyDescent="0.25">
      <c r="A3050" s="672"/>
      <c r="B3050" s="684" t="s">
        <v>1993</v>
      </c>
      <c r="C3050" s="321">
        <v>10</v>
      </c>
      <c r="D3050" s="322" t="s">
        <v>95</v>
      </c>
      <c r="E3050" s="685">
        <v>161000</v>
      </c>
      <c r="F3050" s="678">
        <f>C3050*E3050</f>
        <v>1610000</v>
      </c>
      <c r="G3050" s="332"/>
    </row>
    <row r="3051" spans="1:20" customFormat="1" ht="15" x14ac:dyDescent="0.25">
      <c r="A3051" s="672"/>
      <c r="B3051" s="684" t="s">
        <v>871</v>
      </c>
      <c r="C3051" s="321">
        <v>10</v>
      </c>
      <c r="D3051" s="322" t="s">
        <v>870</v>
      </c>
      <c r="E3051" s="685">
        <v>35000</v>
      </c>
      <c r="F3051" s="678">
        <f>C3051*E3051</f>
        <v>350000</v>
      </c>
      <c r="G3051" s="332"/>
    </row>
    <row r="3052" spans="1:20" customFormat="1" ht="15" x14ac:dyDescent="0.25">
      <c r="A3052" s="672" t="s">
        <v>866</v>
      </c>
      <c r="B3052" s="686" t="s">
        <v>896</v>
      </c>
      <c r="C3052" s="321"/>
      <c r="D3052" s="322"/>
      <c r="E3052" s="678"/>
      <c r="F3052" s="678"/>
      <c r="G3052" s="332"/>
    </row>
    <row r="3053" spans="1:20" customFormat="1" ht="15" x14ac:dyDescent="0.25">
      <c r="A3053" s="672" t="s">
        <v>2871</v>
      </c>
      <c r="B3053" s="1957" t="s">
        <v>1488</v>
      </c>
      <c r="C3053" s="1958"/>
      <c r="D3053" s="322"/>
      <c r="E3053" s="678"/>
      <c r="F3053" s="678"/>
      <c r="G3053" s="332"/>
    </row>
    <row r="3054" spans="1:20" customFormat="1" ht="45" x14ac:dyDescent="0.25">
      <c r="A3054" s="348"/>
      <c r="B3054" s="349" t="s">
        <v>2418</v>
      </c>
      <c r="C3054" s="321">
        <v>120</v>
      </c>
      <c r="D3054" s="322" t="s">
        <v>21</v>
      </c>
      <c r="E3054" s="678">
        <v>500000</v>
      </c>
      <c r="F3054" s="678">
        <f>C3054*E3054</f>
        <v>60000000</v>
      </c>
      <c r="G3054" s="332"/>
    </row>
    <row r="3055" spans="1:20" customFormat="1" ht="15" x14ac:dyDescent="0.25">
      <c r="A3055" s="348"/>
      <c r="B3055" s="687"/>
      <c r="C3055" s="688"/>
      <c r="D3055" s="688"/>
      <c r="E3055" s="689"/>
      <c r="F3055" s="677"/>
      <c r="G3055" s="332"/>
    </row>
    <row r="3056" spans="1:20" customFormat="1" ht="15" x14ac:dyDescent="0.25">
      <c r="A3056" s="323"/>
      <c r="B3056" s="1959" t="s">
        <v>26</v>
      </c>
      <c r="C3056" s="1960"/>
      <c r="D3056" s="1960"/>
      <c r="E3056" s="1961"/>
      <c r="F3056" s="677">
        <f>SUM(F3039:F3054)</f>
        <v>67974000</v>
      </c>
      <c r="G3056" s="332" t="s">
        <v>1711</v>
      </c>
      <c r="J3056" s="172"/>
      <c r="T3056" s="172">
        <f>F3056</f>
        <v>67974000</v>
      </c>
    </row>
    <row r="3057" spans="1:7" x14ac:dyDescent="0.2">
      <c r="A3057" s="1762" t="s">
        <v>549</v>
      </c>
      <c r="B3057" s="1762"/>
      <c r="C3057" s="188" t="s">
        <v>27</v>
      </c>
      <c r="D3057" s="1763" t="s">
        <v>1429</v>
      </c>
      <c r="E3057" s="1763"/>
      <c r="F3057" s="1763"/>
      <c r="G3057" s="188"/>
    </row>
    <row r="3058" spans="1:7" x14ac:dyDescent="0.2">
      <c r="A3058" s="1762" t="s">
        <v>28</v>
      </c>
      <c r="B3058" s="1762"/>
      <c r="C3058" s="188"/>
      <c r="D3058" s="1764" t="s">
        <v>2834</v>
      </c>
      <c r="E3058" s="1764"/>
      <c r="F3058" s="1764"/>
      <c r="G3058" s="188"/>
    </row>
    <row r="3059" spans="1:7" x14ac:dyDescent="0.2">
      <c r="A3059" s="186"/>
      <c r="B3059" s="187"/>
      <c r="C3059" s="188"/>
      <c r="D3059" s="189"/>
      <c r="E3059" s="218"/>
      <c r="F3059" s="218"/>
      <c r="G3059" s="188"/>
    </row>
    <row r="3060" spans="1:7" x14ac:dyDescent="0.2">
      <c r="A3060" s="186"/>
      <c r="B3060" s="187"/>
      <c r="C3060" s="188"/>
      <c r="D3060" s="189"/>
      <c r="E3060" s="218"/>
      <c r="F3060" s="218"/>
      <c r="G3060" s="188"/>
    </row>
    <row r="3061" spans="1:7" x14ac:dyDescent="0.2">
      <c r="A3061" s="1762"/>
      <c r="B3061" s="1762"/>
      <c r="C3061" s="188"/>
      <c r="D3061" s="189"/>
      <c r="E3061" s="1762"/>
      <c r="F3061" s="1762"/>
      <c r="G3061" s="188"/>
    </row>
    <row r="3062" spans="1:7" x14ac:dyDescent="0.2">
      <c r="A3062" s="1762" t="s">
        <v>29</v>
      </c>
      <c r="B3062" s="1762"/>
      <c r="C3062" s="188"/>
      <c r="D3062" s="1762" t="s">
        <v>2993</v>
      </c>
      <c r="E3062" s="1762"/>
      <c r="F3062" s="1762"/>
      <c r="G3062" s="188"/>
    </row>
    <row r="3065" spans="1:7" customFormat="1" ht="15" x14ac:dyDescent="0.25">
      <c r="A3065" s="2020" t="s">
        <v>995</v>
      </c>
      <c r="B3065" s="2020"/>
      <c r="C3065" s="2020"/>
      <c r="D3065" s="2020"/>
      <c r="E3065" s="2020"/>
      <c r="F3065" s="2020"/>
      <c r="G3065" s="2020"/>
    </row>
    <row r="3066" spans="1:7" customFormat="1" ht="15" x14ac:dyDescent="0.25">
      <c r="A3066" s="2020" t="s">
        <v>1</v>
      </c>
      <c r="B3066" s="2020"/>
      <c r="C3066" s="2020"/>
      <c r="D3066" s="2020"/>
      <c r="E3066" s="2020"/>
      <c r="F3066" s="2020"/>
      <c r="G3066" s="2020"/>
    </row>
    <row r="3067" spans="1:7" customFormat="1" ht="15" x14ac:dyDescent="0.25">
      <c r="A3067" s="2020" t="s">
        <v>1769</v>
      </c>
      <c r="B3067" s="2020"/>
      <c r="C3067" s="2020"/>
      <c r="D3067" s="2020"/>
      <c r="E3067" s="2020"/>
      <c r="F3067" s="2020"/>
      <c r="G3067" s="2020"/>
    </row>
    <row r="3068" spans="1:7" customFormat="1" ht="15" x14ac:dyDescent="0.25">
      <c r="A3068" s="1447"/>
      <c r="B3068" s="1448"/>
      <c r="C3068" s="1449"/>
      <c r="D3068" s="1449"/>
      <c r="E3068" s="1450"/>
      <c r="F3068" s="1450"/>
      <c r="G3068" s="1450"/>
    </row>
    <row r="3069" spans="1:7" customFormat="1" ht="15" x14ac:dyDescent="0.25">
      <c r="A3069" s="1450" t="s">
        <v>1483</v>
      </c>
      <c r="B3069" s="1451"/>
      <c r="C3069" s="1452"/>
      <c r="D3069" s="1452"/>
      <c r="E3069" s="1453"/>
      <c r="F3069" s="1453"/>
      <c r="G3069" s="1450"/>
    </row>
    <row r="3070" spans="1:7" customFormat="1" ht="24.75" x14ac:dyDescent="0.25">
      <c r="A3070" s="1454" t="s">
        <v>712</v>
      </c>
      <c r="B3070" s="1455" t="s">
        <v>1504</v>
      </c>
      <c r="C3070" s="1452"/>
      <c r="D3070" s="1452"/>
      <c r="E3070" s="1453" t="s">
        <v>1484</v>
      </c>
      <c r="F3070" s="1453"/>
      <c r="G3070" s="1450"/>
    </row>
    <row r="3071" spans="1:7" customFormat="1" ht="15" x14ac:dyDescent="0.25">
      <c r="A3071" s="1456" t="s">
        <v>749</v>
      </c>
      <c r="B3071" s="1457" t="s">
        <v>1681</v>
      </c>
      <c r="C3071" s="1452"/>
      <c r="D3071" s="1452"/>
      <c r="E3071" s="1453" t="s">
        <v>1485</v>
      </c>
      <c r="F3071" s="1453"/>
      <c r="G3071" s="1454"/>
    </row>
    <row r="3072" spans="1:7" customFormat="1" ht="45" x14ac:dyDescent="0.25">
      <c r="A3072" s="1456" t="s">
        <v>1486</v>
      </c>
      <c r="B3072" s="1457" t="s">
        <v>2201</v>
      </c>
      <c r="C3072" s="1452"/>
      <c r="D3072" s="1452"/>
      <c r="E3072" s="1453"/>
      <c r="F3072" s="1453"/>
      <c r="G3072" s="1454"/>
    </row>
    <row r="3073" spans="1:7" customFormat="1" ht="15" x14ac:dyDescent="0.25">
      <c r="A3073" s="1450" t="s">
        <v>1487</v>
      </c>
      <c r="B3073" s="1451" t="s">
        <v>61</v>
      </c>
      <c r="C3073" s="1452"/>
      <c r="D3073" s="1452"/>
      <c r="E3073" s="1450"/>
      <c r="F3073" s="1450"/>
      <c r="G3073" s="1450"/>
    </row>
    <row r="3074" spans="1:7" customFormat="1" ht="15" x14ac:dyDescent="0.25">
      <c r="A3074" s="1454" t="s">
        <v>62</v>
      </c>
      <c r="B3074" s="1455" t="s">
        <v>63</v>
      </c>
      <c r="C3074" s="1452"/>
      <c r="D3074" s="1452"/>
      <c r="E3074" s="1454"/>
      <c r="F3074" s="1454"/>
      <c r="G3074" s="1454"/>
    </row>
    <row r="3075" spans="1:7" customFormat="1" ht="15" x14ac:dyDescent="0.25">
      <c r="A3075" s="1458"/>
      <c r="B3075" s="1459"/>
      <c r="C3075" s="1460"/>
      <c r="D3075" s="1460"/>
      <c r="E3075" s="1458"/>
      <c r="F3075" s="1458"/>
      <c r="G3075" s="1458"/>
    </row>
    <row r="3076" spans="1:7" customFormat="1" ht="24" x14ac:dyDescent="0.25">
      <c r="A3076" s="1207" t="s">
        <v>30</v>
      </c>
      <c r="B3076" s="1207" t="s">
        <v>11</v>
      </c>
      <c r="C3076" s="1921" t="s">
        <v>12</v>
      </c>
      <c r="D3076" s="1922"/>
      <c r="E3076" s="1461" t="s">
        <v>13</v>
      </c>
      <c r="F3076" s="1273" t="s">
        <v>14</v>
      </c>
      <c r="G3076" s="1462" t="s">
        <v>266</v>
      </c>
    </row>
    <row r="3077" spans="1:7" customFormat="1" ht="15" x14ac:dyDescent="0.25">
      <c r="A3077" s="1145">
        <v>1</v>
      </c>
      <c r="B3077" s="1146">
        <v>2</v>
      </c>
      <c r="C3077" s="1811">
        <v>3</v>
      </c>
      <c r="D3077" s="1812"/>
      <c r="E3077" s="1255">
        <v>4</v>
      </c>
      <c r="F3077" s="1147">
        <v>5</v>
      </c>
      <c r="G3077" s="1151">
        <v>7</v>
      </c>
    </row>
    <row r="3078" spans="1:7" customFormat="1" ht="15" x14ac:dyDescent="0.25">
      <c r="A3078" s="1293" t="s">
        <v>2202</v>
      </c>
      <c r="B3078" s="1463" t="s">
        <v>1505</v>
      </c>
      <c r="C3078" s="1464"/>
      <c r="D3078" s="1465"/>
      <c r="E3078" s="1466"/>
      <c r="F3078" s="1467"/>
      <c r="G3078" s="1151"/>
    </row>
    <row r="3079" spans="1:7" customFormat="1" ht="24" x14ac:dyDescent="0.25">
      <c r="A3079" s="1293" t="s">
        <v>2203</v>
      </c>
      <c r="B3079" s="1463" t="s">
        <v>1682</v>
      </c>
      <c r="C3079" s="1464"/>
      <c r="D3079" s="1465"/>
      <c r="E3079" s="1466"/>
      <c r="F3079" s="1467"/>
      <c r="G3079" s="1151"/>
    </row>
    <row r="3080" spans="1:7" customFormat="1" ht="24" x14ac:dyDescent="0.25">
      <c r="A3080" s="1293" t="s">
        <v>2204</v>
      </c>
      <c r="B3080" s="1463" t="s">
        <v>1499</v>
      </c>
      <c r="C3080" s="1468"/>
      <c r="D3080" s="1465"/>
      <c r="E3080" s="1466"/>
      <c r="F3080" s="1467"/>
      <c r="G3080" s="1151"/>
    </row>
    <row r="3081" spans="1:7" customFormat="1" ht="15" x14ac:dyDescent="0.25">
      <c r="A3081" s="1287"/>
      <c r="B3081" s="1469" t="s">
        <v>188</v>
      </c>
      <c r="C3081" s="1468">
        <v>1</v>
      </c>
      <c r="D3081" s="1465" t="s">
        <v>473</v>
      </c>
      <c r="E3081" s="1466">
        <v>300000</v>
      </c>
      <c r="F3081" s="1467">
        <f>E3081*C3081</f>
        <v>300000</v>
      </c>
      <c r="G3081" s="1151"/>
    </row>
    <row r="3082" spans="1:7" customFormat="1" ht="15" x14ac:dyDescent="0.25">
      <c r="A3082" s="1287"/>
      <c r="B3082" s="1476" t="s">
        <v>1500</v>
      </c>
      <c r="C3082" s="1477">
        <v>1</v>
      </c>
      <c r="D3082" s="1478" t="s">
        <v>473</v>
      </c>
      <c r="E3082" s="1479">
        <v>250000</v>
      </c>
      <c r="F3082" s="1467">
        <f>E3082*C3082</f>
        <v>250000</v>
      </c>
      <c r="G3082" s="1151"/>
    </row>
    <row r="3083" spans="1:7" customFormat="1" ht="15.75" thickBot="1" x14ac:dyDescent="0.3">
      <c r="A3083" s="1155"/>
      <c r="B3083" s="1476" t="s">
        <v>352</v>
      </c>
      <c r="C3083" s="1477">
        <v>1</v>
      </c>
      <c r="D3083" s="1478" t="s">
        <v>473</v>
      </c>
      <c r="E3083" s="1479">
        <v>200000</v>
      </c>
      <c r="F3083" s="1474">
        <f>E3083*C3083</f>
        <v>200000</v>
      </c>
      <c r="G3083" s="1151"/>
    </row>
    <row r="3084" spans="1:7" customFormat="1" ht="15.75" thickBot="1" x14ac:dyDescent="0.3">
      <c r="A3084" s="1155"/>
      <c r="B3084" s="2021" t="s">
        <v>548</v>
      </c>
      <c r="C3084" s="2022"/>
      <c r="D3084" s="2022"/>
      <c r="E3084" s="2023"/>
      <c r="F3084" s="1470">
        <f>SUM(F3081:F3083)</f>
        <v>750000</v>
      </c>
      <c r="G3084" s="1151"/>
    </row>
    <row r="3085" spans="1:7" customFormat="1" ht="15" x14ac:dyDescent="0.25">
      <c r="A3085" s="1293" t="s">
        <v>2205</v>
      </c>
      <c r="B3085" s="1153" t="s">
        <v>1491</v>
      </c>
      <c r="C3085" s="1471"/>
      <c r="D3085" s="1472"/>
      <c r="E3085" s="1155"/>
      <c r="F3085" s="1473"/>
      <c r="G3085" s="1151"/>
    </row>
    <row r="3086" spans="1:7" customFormat="1" ht="15.75" thickBot="1" x14ac:dyDescent="0.3">
      <c r="A3086" s="1288"/>
      <c r="B3086" s="1158" t="s">
        <v>2206</v>
      </c>
      <c r="C3086" s="1471">
        <v>450</v>
      </c>
      <c r="D3086" s="1472" t="s">
        <v>1495</v>
      </c>
      <c r="E3086" s="1482">
        <v>1000000</v>
      </c>
      <c r="F3086" s="1473">
        <f>E3086*C3086</f>
        <v>450000000</v>
      </c>
      <c r="G3086" s="1151"/>
    </row>
    <row r="3087" spans="1:7" customFormat="1" ht="15.75" thickBot="1" x14ac:dyDescent="0.3">
      <c r="A3087" s="1471"/>
      <c r="B3087" s="2021" t="s">
        <v>548</v>
      </c>
      <c r="C3087" s="2022"/>
      <c r="D3087" s="2022"/>
      <c r="E3087" s="2023"/>
      <c r="F3087" s="1470">
        <f>SUM(F3086:F3086)</f>
        <v>450000000</v>
      </c>
      <c r="G3087" s="1475"/>
    </row>
    <row r="3088" spans="1:7" customFormat="1" ht="15.75" thickBot="1" x14ac:dyDescent="0.3">
      <c r="A3088" s="1471"/>
      <c r="B3088" s="2021" t="s">
        <v>26</v>
      </c>
      <c r="C3088" s="2022"/>
      <c r="D3088" s="2022"/>
      <c r="E3088" s="2023"/>
      <c r="F3088" s="1470">
        <f>F3087+F3084</f>
        <v>450750000</v>
      </c>
      <c r="G3088" s="1475"/>
    </row>
    <row r="3089" spans="1:7" customFormat="1" ht="15" x14ac:dyDescent="0.25">
      <c r="A3089" s="1807" t="s">
        <v>549</v>
      </c>
      <c r="B3089" s="1807"/>
      <c r="C3089" s="1141" t="s">
        <v>27</v>
      </c>
      <c r="D3089" s="1808" t="s">
        <v>1429</v>
      </c>
      <c r="E3089" s="1808"/>
      <c r="F3089" s="1808"/>
      <c r="G3089" s="1141"/>
    </row>
    <row r="3090" spans="1:7" customFormat="1" ht="15" x14ac:dyDescent="0.25">
      <c r="A3090" s="1807" t="s">
        <v>28</v>
      </c>
      <c r="B3090" s="1807"/>
      <c r="C3090" s="1141"/>
      <c r="D3090" s="1908" t="s">
        <v>1777</v>
      </c>
      <c r="E3090" s="1908"/>
      <c r="F3090" s="1908"/>
      <c r="G3090" s="1141"/>
    </row>
    <row r="3091" spans="1:7" customFormat="1" ht="15" x14ac:dyDescent="0.25">
      <c r="A3091" s="1139"/>
      <c r="B3091" s="1140"/>
      <c r="C3091" s="1141"/>
      <c r="D3091" s="1142"/>
      <c r="E3091" s="1164"/>
      <c r="F3091" s="1164"/>
      <c r="G3091" s="1141"/>
    </row>
    <row r="3092" spans="1:7" customFormat="1" ht="15" x14ac:dyDescent="0.25">
      <c r="A3092" s="1139"/>
      <c r="B3092" s="1140"/>
      <c r="C3092" s="1141"/>
      <c r="D3092" s="1142"/>
      <c r="E3092" s="1164"/>
      <c r="F3092" s="1164"/>
      <c r="G3092" s="1141"/>
    </row>
    <row r="3093" spans="1:7" customFormat="1" ht="15" x14ac:dyDescent="0.25">
      <c r="A3093" s="1807"/>
      <c r="B3093" s="1807"/>
      <c r="C3093" s="1141"/>
      <c r="D3093" s="1142"/>
      <c r="E3093" s="1807"/>
      <c r="F3093" s="1807"/>
      <c r="G3093" s="1141"/>
    </row>
    <row r="3094" spans="1:7" customFormat="1" ht="15" x14ac:dyDescent="0.25">
      <c r="A3094" s="1807" t="s">
        <v>29</v>
      </c>
      <c r="B3094" s="1807"/>
      <c r="C3094" s="1141"/>
      <c r="D3094" s="1807" t="s">
        <v>550</v>
      </c>
      <c r="E3094" s="1807"/>
      <c r="F3094" s="1807"/>
      <c r="G3094" s="1141"/>
    </row>
    <row r="3095" spans="1:7" customFormat="1" ht="15" x14ac:dyDescent="0.25"/>
    <row r="3096" spans="1:7" customFormat="1" ht="15" x14ac:dyDescent="0.25">
      <c r="A3096" s="1937" t="s">
        <v>0</v>
      </c>
      <c r="B3096" s="1937"/>
      <c r="C3096" s="1937"/>
      <c r="D3096" s="1937"/>
      <c r="E3096" s="1937"/>
      <c r="F3096" s="1937"/>
      <c r="G3096" s="1937"/>
    </row>
    <row r="3097" spans="1:7" customFormat="1" ht="15" x14ac:dyDescent="0.25">
      <c r="A3097" s="1937" t="s">
        <v>1</v>
      </c>
      <c r="B3097" s="1937"/>
      <c r="C3097" s="1937"/>
      <c r="D3097" s="1937"/>
      <c r="E3097" s="1937"/>
      <c r="F3097" s="1937"/>
      <c r="G3097" s="1937"/>
    </row>
    <row r="3098" spans="1:7" customFormat="1" ht="15" x14ac:dyDescent="0.25">
      <c r="A3098" s="1937" t="s">
        <v>1769</v>
      </c>
      <c r="B3098" s="1937"/>
      <c r="C3098" s="1937"/>
      <c r="D3098" s="1937"/>
      <c r="E3098" s="1937"/>
      <c r="F3098" s="1937"/>
      <c r="G3098" s="1937"/>
    </row>
    <row r="3099" spans="1:7" customFormat="1" ht="15" x14ac:dyDescent="0.25">
      <c r="A3099" s="301"/>
      <c r="B3099" s="301"/>
      <c r="C3099" s="690"/>
      <c r="D3099" s="690"/>
      <c r="E3099" s="306"/>
      <c r="F3099" s="301"/>
      <c r="G3099" s="223"/>
    </row>
    <row r="3100" spans="1:7" customFormat="1" ht="15" x14ac:dyDescent="0.25">
      <c r="A3100" s="667" t="s">
        <v>524</v>
      </c>
      <c r="B3100" s="667" t="s">
        <v>2406</v>
      </c>
      <c r="C3100" s="664"/>
      <c r="D3100" s="664"/>
      <c r="E3100" s="668"/>
      <c r="F3100" s="664"/>
      <c r="G3100" s="223"/>
    </row>
    <row r="3101" spans="1:7" customFormat="1" ht="15" x14ac:dyDescent="0.25">
      <c r="A3101" s="667" t="s">
        <v>525</v>
      </c>
      <c r="B3101" s="667" t="s">
        <v>2407</v>
      </c>
      <c r="C3101" s="664"/>
      <c r="D3101" s="664"/>
      <c r="E3101" s="223"/>
      <c r="F3101" s="223"/>
      <c r="G3101" s="223"/>
    </row>
    <row r="3102" spans="1:7" customFormat="1" ht="75" x14ac:dyDescent="0.25">
      <c r="A3102" s="667" t="s">
        <v>526</v>
      </c>
      <c r="B3102" s="691" t="s">
        <v>2408</v>
      </c>
      <c r="C3102" s="664"/>
      <c r="D3102" s="664"/>
      <c r="E3102" s="223"/>
      <c r="F3102" s="223"/>
      <c r="G3102" s="223"/>
    </row>
    <row r="3103" spans="1:7" customFormat="1" ht="30" x14ac:dyDescent="0.25">
      <c r="A3103" s="692" t="s">
        <v>502</v>
      </c>
      <c r="B3103" s="693" t="s">
        <v>61</v>
      </c>
      <c r="C3103" s="301"/>
      <c r="D3103" s="301"/>
      <c r="E3103" s="301"/>
      <c r="F3103" s="301"/>
      <c r="G3103" s="223"/>
    </row>
    <row r="3104" spans="1:7" customFormat="1" ht="15" x14ac:dyDescent="0.25">
      <c r="A3104" s="1814" t="s">
        <v>503</v>
      </c>
      <c r="B3104" s="1814"/>
      <c r="C3104" s="690"/>
      <c r="D3104" s="690"/>
      <c r="E3104" s="306"/>
      <c r="F3104" s="301"/>
      <c r="G3104" s="298"/>
    </row>
    <row r="3105" spans="1:7" customFormat="1" ht="45" x14ac:dyDescent="0.25">
      <c r="A3105" s="669" t="s">
        <v>30</v>
      </c>
      <c r="B3105" s="669" t="s">
        <v>11</v>
      </c>
      <c r="C3105" s="1978" t="s">
        <v>12</v>
      </c>
      <c r="D3105" s="1979"/>
      <c r="E3105" s="694" t="s">
        <v>13</v>
      </c>
      <c r="F3105" s="695" t="s">
        <v>14</v>
      </c>
      <c r="G3105" s="340" t="s">
        <v>34</v>
      </c>
    </row>
    <row r="3106" spans="1:7" customFormat="1" ht="15" x14ac:dyDescent="0.25">
      <c r="A3106" s="323">
        <v>1</v>
      </c>
      <c r="B3106" s="323">
        <v>2</v>
      </c>
      <c r="C3106" s="1838">
        <v>3</v>
      </c>
      <c r="D3106" s="1839"/>
      <c r="E3106" s="670">
        <v>4</v>
      </c>
      <c r="F3106" s="321">
        <v>5</v>
      </c>
      <c r="G3106" s="342">
        <v>6</v>
      </c>
    </row>
    <row r="3107" spans="1:7" customFormat="1" ht="15" x14ac:dyDescent="0.25">
      <c r="A3107" s="323"/>
      <c r="B3107" s="323" t="s">
        <v>2409</v>
      </c>
      <c r="C3107" s="321"/>
      <c r="D3107" s="322"/>
      <c r="E3107" s="670"/>
      <c r="F3107" s="321"/>
      <c r="G3107" s="342"/>
    </row>
    <row r="3108" spans="1:7" customFormat="1" ht="30" x14ac:dyDescent="0.25">
      <c r="A3108" s="348" t="s">
        <v>1169</v>
      </c>
      <c r="B3108" s="332" t="s">
        <v>495</v>
      </c>
      <c r="C3108" s="696"/>
      <c r="D3108" s="697"/>
      <c r="E3108" s="698"/>
      <c r="F3108" s="696"/>
      <c r="G3108" s="343"/>
    </row>
    <row r="3109" spans="1:7" customFormat="1" ht="30" x14ac:dyDescent="0.25">
      <c r="A3109" s="348" t="s">
        <v>1170</v>
      </c>
      <c r="B3109" s="332" t="s">
        <v>86</v>
      </c>
      <c r="C3109" s="696"/>
      <c r="D3109" s="697"/>
      <c r="E3109" s="698"/>
      <c r="F3109" s="696"/>
      <c r="G3109" s="343"/>
    </row>
    <row r="3110" spans="1:7" customFormat="1" ht="30" x14ac:dyDescent="0.25">
      <c r="A3110" s="348" t="s">
        <v>1171</v>
      </c>
      <c r="B3110" s="332" t="s">
        <v>317</v>
      </c>
      <c r="C3110" s="345"/>
      <c r="D3110" s="344"/>
      <c r="E3110" s="337"/>
      <c r="F3110" s="699"/>
      <c r="G3110" s="324"/>
    </row>
    <row r="3111" spans="1:7" customFormat="1" ht="30" x14ac:dyDescent="0.25">
      <c r="A3111" s="343"/>
      <c r="B3111" s="332" t="s">
        <v>2410</v>
      </c>
      <c r="C3111" s="1552">
        <v>1300</v>
      </c>
      <c r="D3111" s="344" t="s">
        <v>507</v>
      </c>
      <c r="E3111" s="337">
        <v>15000</v>
      </c>
      <c r="F3111" s="699">
        <f>E3111*C3111</f>
        <v>19500000</v>
      </c>
      <c r="G3111" s="324"/>
    </row>
    <row r="3112" spans="1:7" customFormat="1" ht="15" x14ac:dyDescent="0.25">
      <c r="A3112" s="343"/>
      <c r="B3112" s="329"/>
      <c r="C3112" s="345"/>
      <c r="D3112" s="344"/>
      <c r="E3112" s="337"/>
      <c r="F3112" s="699"/>
      <c r="G3112" s="324"/>
    </row>
    <row r="3113" spans="1:7" customFormat="1" ht="30" x14ac:dyDescent="0.25">
      <c r="A3113" s="348" t="s">
        <v>1172</v>
      </c>
      <c r="B3113" s="332" t="s">
        <v>337</v>
      </c>
      <c r="C3113" s="345"/>
      <c r="D3113" s="344"/>
      <c r="E3113" s="337"/>
      <c r="F3113" s="699"/>
      <c r="G3113" s="324"/>
    </row>
    <row r="3114" spans="1:7" customFormat="1" ht="15" x14ac:dyDescent="0.25">
      <c r="A3114" s="343"/>
      <c r="B3114" s="329" t="s">
        <v>338</v>
      </c>
      <c r="C3114" s="345">
        <v>1</v>
      </c>
      <c r="D3114" s="344" t="s">
        <v>95</v>
      </c>
      <c r="E3114" s="337">
        <v>90000</v>
      </c>
      <c r="F3114" s="699">
        <f>E3114*C3114</f>
        <v>90000</v>
      </c>
      <c r="G3114" s="324"/>
    </row>
    <row r="3115" spans="1:7" customFormat="1" ht="15" x14ac:dyDescent="0.25">
      <c r="A3115" s="343"/>
      <c r="B3115" s="329"/>
      <c r="C3115" s="345"/>
      <c r="D3115" s="344"/>
      <c r="E3115" s="337"/>
      <c r="F3115" s="699"/>
      <c r="G3115" s="324"/>
    </row>
    <row r="3116" spans="1:7" customFormat="1" ht="30" x14ac:dyDescent="0.25">
      <c r="A3116" s="348" t="s">
        <v>2411</v>
      </c>
      <c r="B3116" s="332" t="s">
        <v>450</v>
      </c>
      <c r="C3116" s="345"/>
      <c r="D3116" s="344"/>
      <c r="E3116" s="337"/>
      <c r="F3116" s="700"/>
      <c r="G3116" s="324"/>
    </row>
    <row r="3117" spans="1:7" customFormat="1" ht="15" x14ac:dyDescent="0.25">
      <c r="A3117" s="329"/>
      <c r="B3117" s="329" t="s">
        <v>451</v>
      </c>
      <c r="C3117" s="345">
        <v>1</v>
      </c>
      <c r="D3117" s="344" t="s">
        <v>95</v>
      </c>
      <c r="E3117" s="337">
        <v>50000</v>
      </c>
      <c r="F3117" s="700">
        <f>E3117*C3117</f>
        <v>50000</v>
      </c>
      <c r="G3117" s="324"/>
    </row>
    <row r="3118" spans="1:7" customFormat="1" ht="15" x14ac:dyDescent="0.25">
      <c r="A3118" s="329"/>
      <c r="B3118" s="329" t="s">
        <v>285</v>
      </c>
      <c r="C3118" s="345">
        <v>5</v>
      </c>
      <c r="D3118" s="344" t="s">
        <v>647</v>
      </c>
      <c r="E3118" s="337">
        <v>3000</v>
      </c>
      <c r="F3118" s="700">
        <f>E3118*C3118</f>
        <v>15000</v>
      </c>
      <c r="G3118" s="324"/>
    </row>
    <row r="3119" spans="1:7" customFormat="1" ht="15" x14ac:dyDescent="0.25">
      <c r="A3119" s="329"/>
      <c r="B3119" s="329" t="s">
        <v>299</v>
      </c>
      <c r="C3119" s="345">
        <v>1</v>
      </c>
      <c r="D3119" s="344" t="s">
        <v>157</v>
      </c>
      <c r="E3119" s="337">
        <v>10000</v>
      </c>
      <c r="F3119" s="700">
        <f>E3119*C3119</f>
        <v>10000</v>
      </c>
      <c r="G3119" s="324"/>
    </row>
    <row r="3120" spans="1:7" customFormat="1" ht="15" x14ac:dyDescent="0.25">
      <c r="A3120" s="329"/>
      <c r="B3120" s="329"/>
      <c r="C3120" s="345"/>
      <c r="D3120" s="344"/>
      <c r="E3120" s="337"/>
      <c r="F3120" s="700"/>
      <c r="G3120" s="324"/>
    </row>
    <row r="3121" spans="1:20" customFormat="1" ht="15" x14ac:dyDescent="0.25">
      <c r="A3121" s="348" t="s">
        <v>2412</v>
      </c>
      <c r="B3121" s="329" t="s">
        <v>304</v>
      </c>
      <c r="C3121" s="345"/>
      <c r="D3121" s="344"/>
      <c r="E3121" s="677"/>
      <c r="F3121" s="699"/>
      <c r="G3121" s="324"/>
    </row>
    <row r="3122" spans="1:20" customFormat="1" ht="60" x14ac:dyDescent="0.25">
      <c r="A3122" s="348" t="s">
        <v>2413</v>
      </c>
      <c r="B3122" s="332" t="s">
        <v>517</v>
      </c>
      <c r="C3122" s="345"/>
      <c r="D3122" s="344"/>
      <c r="E3122" s="677"/>
      <c r="F3122" s="699"/>
      <c r="G3122" s="324"/>
    </row>
    <row r="3123" spans="1:20" customFormat="1" ht="15" x14ac:dyDescent="0.25">
      <c r="A3123" s="343"/>
      <c r="B3123" s="329" t="s">
        <v>429</v>
      </c>
      <c r="C3123" s="345">
        <v>1</v>
      </c>
      <c r="D3123" s="344" t="s">
        <v>279</v>
      </c>
      <c r="E3123" s="677">
        <v>300000</v>
      </c>
      <c r="F3123" s="699">
        <f>E3123*C3123</f>
        <v>300000</v>
      </c>
      <c r="G3123" s="324"/>
    </row>
    <row r="3124" spans="1:20" customFormat="1" ht="15" x14ac:dyDescent="0.25">
      <c r="A3124" s="343"/>
      <c r="B3124" s="329" t="s">
        <v>535</v>
      </c>
      <c r="C3124" s="345">
        <v>1</v>
      </c>
      <c r="D3124" s="344" t="s">
        <v>279</v>
      </c>
      <c r="E3124" s="677">
        <v>250000</v>
      </c>
      <c r="F3124" s="699">
        <f>E3124*C3124</f>
        <v>250000</v>
      </c>
      <c r="G3124" s="324"/>
    </row>
    <row r="3125" spans="1:20" customFormat="1" ht="15" x14ac:dyDescent="0.25">
      <c r="A3125" s="343"/>
      <c r="B3125" s="329" t="s">
        <v>518</v>
      </c>
      <c r="C3125" s="345">
        <v>3</v>
      </c>
      <c r="D3125" s="344" t="s">
        <v>279</v>
      </c>
      <c r="E3125" s="677">
        <v>200000</v>
      </c>
      <c r="F3125" s="699">
        <f>E3125*C3125</f>
        <v>600000</v>
      </c>
      <c r="G3125" s="324"/>
    </row>
    <row r="3126" spans="1:20" customFormat="1" ht="15" x14ac:dyDescent="0.25">
      <c r="A3126" s="343"/>
      <c r="B3126" s="329"/>
      <c r="C3126" s="345"/>
      <c r="D3126" s="344"/>
      <c r="E3126" s="677"/>
      <c r="F3126" s="699"/>
      <c r="G3126" s="324"/>
    </row>
    <row r="3127" spans="1:20" customFormat="1" ht="60" x14ac:dyDescent="0.25">
      <c r="A3127" s="348" t="s">
        <v>2414</v>
      </c>
      <c r="B3127" s="332" t="s">
        <v>439</v>
      </c>
      <c r="C3127" s="345"/>
      <c r="D3127" s="344"/>
      <c r="E3127" s="677"/>
      <c r="F3127" s="699"/>
      <c r="G3127" s="324"/>
    </row>
    <row r="3128" spans="1:20" customFormat="1" ht="45" x14ac:dyDescent="0.25">
      <c r="A3128" s="343"/>
      <c r="B3128" s="332" t="s">
        <v>2415</v>
      </c>
      <c r="C3128" s="345">
        <v>13</v>
      </c>
      <c r="D3128" s="344" t="s">
        <v>2759</v>
      </c>
      <c r="E3128" s="677">
        <v>300000</v>
      </c>
      <c r="F3128" s="699">
        <f>E3128*C3128</f>
        <v>3900000</v>
      </c>
      <c r="G3128" s="324"/>
    </row>
    <row r="3129" spans="1:20" customFormat="1" ht="15" x14ac:dyDescent="0.25">
      <c r="A3129" s="343"/>
      <c r="B3129" s="329"/>
      <c r="C3129" s="345"/>
      <c r="D3129" s="344"/>
      <c r="E3129" s="337"/>
      <c r="F3129" s="699"/>
      <c r="G3129" s="324"/>
    </row>
    <row r="3130" spans="1:20" customFormat="1" ht="30" x14ac:dyDescent="0.25">
      <c r="A3130" s="701"/>
      <c r="B3130" s="1980" t="s">
        <v>548</v>
      </c>
      <c r="C3130" s="1980"/>
      <c r="D3130" s="1980"/>
      <c r="E3130" s="1980"/>
      <c r="F3130" s="702">
        <f>SUM(F3110:F3129)</f>
        <v>24715000</v>
      </c>
      <c r="G3130" s="1306" t="s">
        <v>2570</v>
      </c>
      <c r="L3130" s="32"/>
      <c r="T3130" s="32">
        <f>F3130</f>
        <v>24715000</v>
      </c>
    </row>
    <row r="3131" spans="1:20" x14ac:dyDescent="0.2">
      <c r="A3131" s="1762" t="s">
        <v>549</v>
      </c>
      <c r="B3131" s="1762"/>
      <c r="C3131" s="188" t="s">
        <v>27</v>
      </c>
      <c r="D3131" s="1763" t="s">
        <v>1429</v>
      </c>
      <c r="E3131" s="1763"/>
      <c r="F3131" s="1763"/>
      <c r="G3131" s="188"/>
    </row>
    <row r="3132" spans="1:20" x14ac:dyDescent="0.2">
      <c r="A3132" s="1762" t="s">
        <v>28</v>
      </c>
      <c r="B3132" s="1762"/>
      <c r="C3132" s="188"/>
      <c r="D3132" s="1764" t="s">
        <v>2834</v>
      </c>
      <c r="E3132" s="1764"/>
      <c r="F3132" s="1764"/>
      <c r="G3132" s="188"/>
    </row>
    <row r="3133" spans="1:20" x14ac:dyDescent="0.2">
      <c r="A3133" s="186"/>
      <c r="B3133" s="187"/>
      <c r="C3133" s="188"/>
      <c r="D3133" s="189"/>
      <c r="E3133" s="218"/>
      <c r="F3133" s="218"/>
      <c r="G3133" s="188"/>
    </row>
    <row r="3134" spans="1:20" x14ac:dyDescent="0.2">
      <c r="A3134" s="186"/>
      <c r="B3134" s="187"/>
      <c r="C3134" s="188"/>
      <c r="D3134" s="189"/>
      <c r="E3134" s="218"/>
      <c r="F3134" s="218"/>
      <c r="G3134" s="188"/>
    </row>
    <row r="3135" spans="1:20" x14ac:dyDescent="0.2">
      <c r="A3135" s="1762"/>
      <c r="B3135" s="1762"/>
      <c r="C3135" s="188"/>
      <c r="D3135" s="189"/>
      <c r="E3135" s="1762"/>
      <c r="F3135" s="1762"/>
      <c r="G3135" s="188"/>
    </row>
    <row r="3136" spans="1:20" x14ac:dyDescent="0.2">
      <c r="A3136" s="1762" t="s">
        <v>29</v>
      </c>
      <c r="B3136" s="1762"/>
      <c r="C3136" s="188"/>
      <c r="D3136" s="1762" t="s">
        <v>2993</v>
      </c>
      <c r="E3136" s="1762"/>
      <c r="F3136" s="1762"/>
      <c r="G3136" s="188"/>
    </row>
    <row r="3137" spans="1:7" x14ac:dyDescent="0.2">
      <c r="A3137" s="260"/>
      <c r="B3137" s="260"/>
      <c r="C3137" s="188"/>
      <c r="D3137" s="260"/>
      <c r="E3137" s="260"/>
      <c r="F3137" s="260"/>
      <c r="G3137" s="188"/>
    </row>
    <row r="3138" spans="1:7" x14ac:dyDescent="0.2">
      <c r="A3138" s="260"/>
      <c r="B3138" s="260"/>
      <c r="C3138" s="188"/>
      <c r="D3138" s="260"/>
      <c r="E3138" s="260"/>
      <c r="F3138" s="260"/>
      <c r="G3138" s="188"/>
    </row>
    <row r="3139" spans="1:7" x14ac:dyDescent="0.2">
      <c r="A3139" s="1762" t="s">
        <v>0</v>
      </c>
      <c r="B3139" s="1762"/>
      <c r="C3139" s="1762"/>
      <c r="D3139" s="1762"/>
      <c r="E3139" s="1762"/>
      <c r="F3139" s="1762"/>
      <c r="G3139" s="1762"/>
    </row>
    <row r="3140" spans="1:7" x14ac:dyDescent="0.2">
      <c r="A3140" s="1762" t="s">
        <v>1</v>
      </c>
      <c r="B3140" s="1762"/>
      <c r="C3140" s="1762"/>
      <c r="D3140" s="1762"/>
      <c r="E3140" s="1762"/>
      <c r="F3140" s="1762"/>
      <c r="G3140" s="1762"/>
    </row>
    <row r="3141" spans="1:7" x14ac:dyDescent="0.2">
      <c r="A3141" s="1762" t="s">
        <v>1769</v>
      </c>
      <c r="B3141" s="1762"/>
      <c r="C3141" s="1762"/>
      <c r="D3141" s="1762"/>
      <c r="E3141" s="1762"/>
      <c r="F3141" s="1762"/>
      <c r="G3141" s="1762"/>
    </row>
    <row r="3142" spans="1:7" x14ac:dyDescent="0.2">
      <c r="G3142" s="458"/>
    </row>
    <row r="3143" spans="1:7" x14ac:dyDescent="0.2">
      <c r="A3143" s="218" t="s">
        <v>901</v>
      </c>
      <c r="B3143" s="218" t="s">
        <v>711</v>
      </c>
      <c r="C3143" s="218"/>
      <c r="D3143" s="218"/>
      <c r="E3143" s="190" t="s">
        <v>6</v>
      </c>
      <c r="F3143" s="190"/>
      <c r="G3143" s="430"/>
    </row>
    <row r="3144" spans="1:7" x14ac:dyDescent="0.2">
      <c r="A3144" s="218" t="s">
        <v>262</v>
      </c>
      <c r="B3144" s="218" t="s">
        <v>902</v>
      </c>
      <c r="C3144" s="218"/>
      <c r="D3144" s="218"/>
      <c r="E3144" s="558" t="s">
        <v>9</v>
      </c>
      <c r="F3144" s="185"/>
      <c r="G3144" s="430"/>
    </row>
    <row r="3145" spans="1:7" ht="48" x14ac:dyDescent="0.2">
      <c r="A3145" s="220" t="s">
        <v>903</v>
      </c>
      <c r="B3145" s="645" t="s">
        <v>904</v>
      </c>
      <c r="C3145" s="218"/>
      <c r="D3145" s="218"/>
      <c r="E3145" s="703"/>
      <c r="F3145" s="218"/>
      <c r="G3145" s="430"/>
    </row>
    <row r="3146" spans="1:7" x14ac:dyDescent="0.2">
      <c r="A3146" s="188" t="s">
        <v>521</v>
      </c>
      <c r="B3146" s="188" t="s">
        <v>905</v>
      </c>
      <c r="C3146" s="188"/>
      <c r="D3146" s="188"/>
      <c r="E3146" s="188"/>
      <c r="F3146" s="188"/>
      <c r="G3146" s="430"/>
    </row>
    <row r="3147" spans="1:7" x14ac:dyDescent="0.2">
      <c r="A3147" s="1763" t="s">
        <v>503</v>
      </c>
      <c r="B3147" s="1763"/>
      <c r="C3147" s="188"/>
      <c r="D3147" s="218"/>
      <c r="E3147" s="190"/>
      <c r="F3147" s="188"/>
      <c r="G3147" s="430"/>
    </row>
    <row r="3148" spans="1:7" x14ac:dyDescent="0.2">
      <c r="A3148" s="185"/>
      <c r="B3148" s="185"/>
      <c r="C3148" s="188"/>
      <c r="D3148" s="218"/>
      <c r="E3148" s="190"/>
      <c r="F3148" s="188"/>
      <c r="G3148" s="430"/>
    </row>
    <row r="3149" spans="1:7" ht="24" x14ac:dyDescent="0.2">
      <c r="A3149" s="198" t="s">
        <v>547</v>
      </c>
      <c r="B3149" s="198" t="s">
        <v>11</v>
      </c>
      <c r="C3149" s="1767" t="s">
        <v>12</v>
      </c>
      <c r="D3149" s="1768"/>
      <c r="E3149" s="267" t="s">
        <v>13</v>
      </c>
      <c r="F3149" s="268" t="s">
        <v>14</v>
      </c>
      <c r="G3149" s="461" t="s">
        <v>34</v>
      </c>
    </row>
    <row r="3150" spans="1:7" x14ac:dyDescent="0.2">
      <c r="A3150" s="197">
        <v>1</v>
      </c>
      <c r="B3150" s="197">
        <v>2</v>
      </c>
      <c r="C3150" s="1773">
        <v>3</v>
      </c>
      <c r="D3150" s="1774"/>
      <c r="E3150" s="2">
        <v>4</v>
      </c>
      <c r="F3150" s="205">
        <v>5</v>
      </c>
      <c r="G3150" s="448">
        <v>6</v>
      </c>
    </row>
    <row r="3151" spans="1:7" x14ac:dyDescent="0.2">
      <c r="A3151" s="256" t="s">
        <v>906</v>
      </c>
      <c r="B3151" s="213" t="s">
        <v>287</v>
      </c>
      <c r="C3151" s="243"/>
      <c r="D3151" s="407"/>
      <c r="E3151" s="231"/>
      <c r="F3151" s="449"/>
      <c r="G3151" s="369"/>
    </row>
    <row r="3152" spans="1:7" x14ac:dyDescent="0.2">
      <c r="A3152" s="256" t="s">
        <v>907</v>
      </c>
      <c r="B3152" s="213" t="s">
        <v>908</v>
      </c>
      <c r="C3152" s="243"/>
      <c r="D3152" s="407"/>
      <c r="E3152" s="231"/>
      <c r="F3152" s="449"/>
      <c r="G3152" s="369"/>
    </row>
    <row r="3153" spans="1:20" ht="24" x14ac:dyDescent="0.2">
      <c r="A3153" s="256" t="s">
        <v>909</v>
      </c>
      <c r="B3153" s="213" t="s">
        <v>910</v>
      </c>
      <c r="C3153" s="214">
        <v>6</v>
      </c>
      <c r="D3153" s="206" t="s">
        <v>92</v>
      </c>
      <c r="E3153" s="231">
        <v>500000</v>
      </c>
      <c r="F3153" s="704">
        <f>E3153*C3153</f>
        <v>3000000</v>
      </c>
      <c r="G3153" s="369"/>
    </row>
    <row r="3154" spans="1:20" x14ac:dyDescent="0.2">
      <c r="A3154" s="217"/>
      <c r="B3154" s="364"/>
      <c r="C3154" s="450"/>
      <c r="D3154" s="451"/>
      <c r="E3154" s="705"/>
      <c r="F3154" s="367"/>
      <c r="G3154" s="369"/>
    </row>
    <row r="3155" spans="1:20" ht="24" x14ac:dyDescent="0.2">
      <c r="A3155" s="243"/>
      <c r="B3155" s="1823" t="s">
        <v>26</v>
      </c>
      <c r="C3155" s="1794"/>
      <c r="D3155" s="1794"/>
      <c r="E3155" s="1795"/>
      <c r="F3155" s="368">
        <f>SUM(F3153:F3154)</f>
        <v>3000000</v>
      </c>
      <c r="G3155" s="369" t="s">
        <v>2570</v>
      </c>
      <c r="T3155" s="457">
        <f>F3155</f>
        <v>3000000</v>
      </c>
    </row>
    <row r="3156" spans="1:20" x14ac:dyDescent="0.2">
      <c r="G3156" s="458"/>
    </row>
    <row r="3157" spans="1:20" customFormat="1" ht="15" x14ac:dyDescent="0.25">
      <c r="A3157" s="1762" t="s">
        <v>549</v>
      </c>
      <c r="B3157" s="1762"/>
      <c r="C3157" s="188" t="s">
        <v>27</v>
      </c>
      <c r="D3157" s="1763" t="s">
        <v>1426</v>
      </c>
      <c r="E3157" s="1763"/>
      <c r="F3157" s="1763"/>
      <c r="G3157" s="188"/>
    </row>
    <row r="3158" spans="1:20" customFormat="1" ht="15" x14ac:dyDescent="0.25">
      <c r="A3158" s="1762" t="s">
        <v>28</v>
      </c>
      <c r="B3158" s="1762"/>
      <c r="C3158" s="188"/>
      <c r="D3158" s="1764" t="s">
        <v>2831</v>
      </c>
      <c r="E3158" s="1764"/>
      <c r="F3158" s="1764"/>
      <c r="G3158" s="188"/>
      <c r="H3158" s="36"/>
    </row>
    <row r="3159" spans="1:20" customFormat="1" ht="15" x14ac:dyDescent="0.25">
      <c r="A3159" s="186"/>
      <c r="B3159" s="187"/>
      <c r="C3159" s="188"/>
      <c r="D3159" s="189"/>
      <c r="E3159" s="218"/>
      <c r="F3159" s="218"/>
      <c r="G3159" s="188"/>
    </row>
    <row r="3160" spans="1:20" customFormat="1" ht="15" x14ac:dyDescent="0.25">
      <c r="A3160" s="186"/>
      <c r="B3160" s="187"/>
      <c r="C3160" s="188"/>
      <c r="D3160" s="189"/>
      <c r="E3160" s="218"/>
      <c r="F3160" s="218"/>
      <c r="G3160" s="188"/>
    </row>
    <row r="3161" spans="1:20" customFormat="1" ht="15" x14ac:dyDescent="0.25">
      <c r="A3161" s="1762"/>
      <c r="B3161" s="1762"/>
      <c r="C3161" s="188"/>
      <c r="D3161" s="189"/>
      <c r="E3161" s="1762"/>
      <c r="F3161" s="1762"/>
      <c r="G3161" s="188"/>
    </row>
    <row r="3162" spans="1:20" customFormat="1" ht="14.25" customHeight="1" x14ac:dyDescent="0.25">
      <c r="A3162" s="1762" t="s">
        <v>29</v>
      </c>
      <c r="B3162" s="1762"/>
      <c r="C3162" s="188"/>
      <c r="D3162" s="1762" t="s">
        <v>2992</v>
      </c>
      <c r="E3162" s="1762"/>
      <c r="F3162" s="1762"/>
      <c r="G3162" s="188"/>
    </row>
    <row r="3165" spans="1:20" x14ac:dyDescent="0.2">
      <c r="F3165" s="457" t="s">
        <v>2182</v>
      </c>
    </row>
    <row r="3166" spans="1:20" x14ac:dyDescent="0.2">
      <c r="F3166" s="637">
        <f>F3155+F3130+F3056+F3020+F2973+F2927+F2851+F2768+F2727+F2697+F2662+F2539+F2489+F2440+F2395+F2349+F2307+F2266+F2216+F2164+F2135+F2104+F2067+F2023+F1991+F1953+F1917+F1879+F1841+F1801+F1770+F1732+F1692+F1663+F1598+F1559+F1529+F1485+F1450+F1413+F1360+F1316+F1281+F1247+F1209+F1127+F1091+F1045+F1004+F965+F924+F886+F822+F791+F748+F714+F666+F626+F584+F545+F502+F434+F394+F344+F309+F195+F157+F1626</f>
        <v>3749461692.0700002</v>
      </c>
    </row>
  </sheetData>
  <mergeCells count="1148">
    <mergeCell ref="A3131:B3131"/>
    <mergeCell ref="D3131:F3131"/>
    <mergeCell ref="A3132:B3132"/>
    <mergeCell ref="D3132:F3132"/>
    <mergeCell ref="A3135:B3135"/>
    <mergeCell ref="E3135:F3135"/>
    <mergeCell ref="A3136:B3136"/>
    <mergeCell ref="D3136:F3136"/>
    <mergeCell ref="A3157:B3157"/>
    <mergeCell ref="D3157:F3157"/>
    <mergeCell ref="A3026:B3026"/>
    <mergeCell ref="D3026:F3026"/>
    <mergeCell ref="A3057:B3057"/>
    <mergeCell ref="D3057:F3057"/>
    <mergeCell ref="A3061:B3061"/>
    <mergeCell ref="A3058:B3058"/>
    <mergeCell ref="D3058:F3058"/>
    <mergeCell ref="E3061:F3061"/>
    <mergeCell ref="A3062:B3062"/>
    <mergeCell ref="D3062:F3062"/>
    <mergeCell ref="A3093:B3093"/>
    <mergeCell ref="E3093:F3093"/>
    <mergeCell ref="A3094:B3094"/>
    <mergeCell ref="D3094:F3094"/>
    <mergeCell ref="A3065:G3065"/>
    <mergeCell ref="A3066:G3066"/>
    <mergeCell ref="A3067:G3067"/>
    <mergeCell ref="C3076:D3076"/>
    <mergeCell ref="C3077:D3077"/>
    <mergeCell ref="B3084:E3084"/>
    <mergeCell ref="B3087:E3087"/>
    <mergeCell ref="B3088:E3088"/>
    <mergeCell ref="E2978:F2978"/>
    <mergeCell ref="A2979:B2979"/>
    <mergeCell ref="D2979:F2979"/>
    <mergeCell ref="A3021:B3021"/>
    <mergeCell ref="D3021:F3021"/>
    <mergeCell ref="A3022:B3022"/>
    <mergeCell ref="D3022:F3022"/>
    <mergeCell ref="A3025:B3025"/>
    <mergeCell ref="E3025:F3025"/>
    <mergeCell ref="A2857:B2857"/>
    <mergeCell ref="D2857:F2857"/>
    <mergeCell ref="A2928:B2928"/>
    <mergeCell ref="D2928:F2928"/>
    <mergeCell ref="A2929:B2929"/>
    <mergeCell ref="D2929:F2929"/>
    <mergeCell ref="A2932:B2932"/>
    <mergeCell ref="E2932:F2932"/>
    <mergeCell ref="A2933:B2933"/>
    <mergeCell ref="D2933:F2933"/>
    <mergeCell ref="A2860:G2860"/>
    <mergeCell ref="A2861:G2861"/>
    <mergeCell ref="A2862:G2862"/>
    <mergeCell ref="C2868:D2868"/>
    <mergeCell ref="C2869:D2869"/>
    <mergeCell ref="B2927:E2927"/>
    <mergeCell ref="A2773:B2773"/>
    <mergeCell ref="E2773:F2773"/>
    <mergeCell ref="A2774:B2774"/>
    <mergeCell ref="D2774:F2774"/>
    <mergeCell ref="A2852:B2852"/>
    <mergeCell ref="D2852:F2852"/>
    <mergeCell ref="A2853:B2853"/>
    <mergeCell ref="D2853:F2853"/>
    <mergeCell ref="A2856:B2856"/>
    <mergeCell ref="E2856:F2856"/>
    <mergeCell ref="A2729:B2729"/>
    <mergeCell ref="D2729:F2729"/>
    <mergeCell ref="A2732:B2732"/>
    <mergeCell ref="E2732:F2732"/>
    <mergeCell ref="A2733:B2733"/>
    <mergeCell ref="D2733:F2733"/>
    <mergeCell ref="A2769:B2769"/>
    <mergeCell ref="D2769:F2769"/>
    <mergeCell ref="A2770:B2770"/>
    <mergeCell ref="D2770:F2770"/>
    <mergeCell ref="A2778:G2778"/>
    <mergeCell ref="A2779:G2779"/>
    <mergeCell ref="A2780:G2780"/>
    <mergeCell ref="C2787:D2787"/>
    <mergeCell ref="C2788:D2788"/>
    <mergeCell ref="B2851:E2851"/>
    <mergeCell ref="A2738:G2738"/>
    <mergeCell ref="A2739:G2739"/>
    <mergeCell ref="C2748:D2748"/>
    <mergeCell ref="A2545:B2545"/>
    <mergeCell ref="D2545:F2545"/>
    <mergeCell ref="A2663:B2663"/>
    <mergeCell ref="D2663:F2663"/>
    <mergeCell ref="A2664:B2664"/>
    <mergeCell ref="D2664:F2664"/>
    <mergeCell ref="A2667:B2667"/>
    <mergeCell ref="E2667:F2667"/>
    <mergeCell ref="A2668:B2668"/>
    <mergeCell ref="D2668:F2668"/>
    <mergeCell ref="A2669:G2669"/>
    <mergeCell ref="A2670:G2670"/>
    <mergeCell ref="A2671:G2671"/>
    <mergeCell ref="C2680:D2680"/>
    <mergeCell ref="C2681:D2681"/>
    <mergeCell ref="B2686:E2686"/>
    <mergeCell ref="B2690:E2690"/>
    <mergeCell ref="A2631:G2631"/>
    <mergeCell ref="A2632:G2632"/>
    <mergeCell ref="A2633:G2633"/>
    <mergeCell ref="C2642:D2642"/>
    <mergeCell ref="C2643:D2643"/>
    <mergeCell ref="B2648:E2648"/>
    <mergeCell ref="B2652:E2652"/>
    <mergeCell ref="B2661:E2661"/>
    <mergeCell ref="B2662:E2662"/>
    <mergeCell ref="A2602:G2602"/>
    <mergeCell ref="A2603:G2603"/>
    <mergeCell ref="A2604:G2604"/>
    <mergeCell ref="C2613:D2613"/>
    <mergeCell ref="C2614:D2614"/>
    <mergeCell ref="B2619:E2619"/>
    <mergeCell ref="A2494:B2494"/>
    <mergeCell ref="E2494:F2494"/>
    <mergeCell ref="A2495:B2495"/>
    <mergeCell ref="D2495:F2495"/>
    <mergeCell ref="A2540:B2540"/>
    <mergeCell ref="D2540:F2540"/>
    <mergeCell ref="A2541:B2541"/>
    <mergeCell ref="D2541:F2541"/>
    <mergeCell ref="A2544:B2544"/>
    <mergeCell ref="E2544:F2544"/>
    <mergeCell ref="A2442:B2442"/>
    <mergeCell ref="D2442:F2442"/>
    <mergeCell ref="A2445:B2445"/>
    <mergeCell ref="E2445:F2445"/>
    <mergeCell ref="A2446:B2446"/>
    <mergeCell ref="D2446:F2446"/>
    <mergeCell ref="A2490:B2490"/>
    <mergeCell ref="D2490:F2490"/>
    <mergeCell ref="A2491:B2491"/>
    <mergeCell ref="D2491:F2491"/>
    <mergeCell ref="D2396:F2396"/>
    <mergeCell ref="A2397:B2397"/>
    <mergeCell ref="D2397:F2397"/>
    <mergeCell ref="A2400:B2400"/>
    <mergeCell ref="E2400:F2400"/>
    <mergeCell ref="A2401:B2401"/>
    <mergeCell ref="D2401:F2401"/>
    <mergeCell ref="A2441:B2441"/>
    <mergeCell ref="D2441:F2441"/>
    <mergeCell ref="A2313:B2313"/>
    <mergeCell ref="D2313:F2313"/>
    <mergeCell ref="A2350:B2350"/>
    <mergeCell ref="D2350:F2350"/>
    <mergeCell ref="A2351:B2351"/>
    <mergeCell ref="D2351:F2351"/>
    <mergeCell ref="A2354:B2354"/>
    <mergeCell ref="E2354:F2354"/>
    <mergeCell ref="A2355:B2355"/>
    <mergeCell ref="D2355:F2355"/>
    <mergeCell ref="A2165:B2165"/>
    <mergeCell ref="D2165:F2165"/>
    <mergeCell ref="A2166:B2166"/>
    <mergeCell ref="D2166:F2166"/>
    <mergeCell ref="A2105:B2105"/>
    <mergeCell ref="D2105:F2105"/>
    <mergeCell ref="A2106:B2106"/>
    <mergeCell ref="D2106:F2106"/>
    <mergeCell ref="A2109:B2109"/>
    <mergeCell ref="E2109:F2109"/>
    <mergeCell ref="A2110:B2110"/>
    <mergeCell ref="D2110:F2110"/>
    <mergeCell ref="A2136:B2136"/>
    <mergeCell ref="D2136:F2136"/>
    <mergeCell ref="A2144:G2144"/>
    <mergeCell ref="C2153:D2153"/>
    <mergeCell ref="C2154:D2154"/>
    <mergeCell ref="B2159:E2159"/>
    <mergeCell ref="B2163:E2163"/>
    <mergeCell ref="B2164:E2164"/>
    <mergeCell ref="A2069:B2069"/>
    <mergeCell ref="D2069:F2069"/>
    <mergeCell ref="A1992:B1992"/>
    <mergeCell ref="D1992:F1992"/>
    <mergeCell ref="A1993:B1993"/>
    <mergeCell ref="D1993:F1993"/>
    <mergeCell ref="A1996:B1996"/>
    <mergeCell ref="E1996:F1996"/>
    <mergeCell ref="A1997:B1997"/>
    <mergeCell ref="D1997:F1997"/>
    <mergeCell ref="A2025:B2025"/>
    <mergeCell ref="D2025:F2025"/>
    <mergeCell ref="A2137:B2137"/>
    <mergeCell ref="D2137:F2137"/>
    <mergeCell ref="A2140:B2140"/>
    <mergeCell ref="E2140:F2140"/>
    <mergeCell ref="A2141:B2141"/>
    <mergeCell ref="D2141:F2141"/>
    <mergeCell ref="B2022:E2022"/>
    <mergeCell ref="A2030:B2030"/>
    <mergeCell ref="D2030:F2030"/>
    <mergeCell ref="A2068:B2068"/>
    <mergeCell ref="D2068:F2068"/>
    <mergeCell ref="C2045:D2045"/>
    <mergeCell ref="C2046:D2046"/>
    <mergeCell ref="B2051:E2051"/>
    <mergeCell ref="B2056:E2056"/>
    <mergeCell ref="B2066:E2066"/>
    <mergeCell ref="B2067:E2067"/>
    <mergeCell ref="A2072:B2072"/>
    <mergeCell ref="E2072:F2072"/>
    <mergeCell ref="A2073:B2073"/>
    <mergeCell ref="A1922:B1922"/>
    <mergeCell ref="E1922:F1922"/>
    <mergeCell ref="A1923:B1923"/>
    <mergeCell ref="D1923:F1923"/>
    <mergeCell ref="A1954:B1954"/>
    <mergeCell ref="D1954:F1954"/>
    <mergeCell ref="A1955:B1955"/>
    <mergeCell ref="D1955:F1955"/>
    <mergeCell ref="A1958:B1958"/>
    <mergeCell ref="E1958:F1958"/>
    <mergeCell ref="A1881:B1881"/>
    <mergeCell ref="D1881:F1881"/>
    <mergeCell ref="A1884:B1884"/>
    <mergeCell ref="E1884:F1884"/>
    <mergeCell ref="A1885:B1885"/>
    <mergeCell ref="D1885:F1885"/>
    <mergeCell ref="A1918:B1918"/>
    <mergeCell ref="D1918:F1918"/>
    <mergeCell ref="A1919:B1919"/>
    <mergeCell ref="D1919:F1919"/>
    <mergeCell ref="A1889:G1889"/>
    <mergeCell ref="A1890:G1890"/>
    <mergeCell ref="C1899:D1899"/>
    <mergeCell ref="C1900:D1900"/>
    <mergeCell ref="B1905:E1905"/>
    <mergeCell ref="B1910:E1910"/>
    <mergeCell ref="B1916:E1916"/>
    <mergeCell ref="B1917:E1917"/>
    <mergeCell ref="A1880:B1880"/>
    <mergeCell ref="D1880:F1880"/>
    <mergeCell ref="A1776:B1776"/>
    <mergeCell ref="D1776:F1776"/>
    <mergeCell ref="A1802:B1802"/>
    <mergeCell ref="D1802:F1802"/>
    <mergeCell ref="A1803:B1803"/>
    <mergeCell ref="D1803:F1803"/>
    <mergeCell ref="A1806:B1806"/>
    <mergeCell ref="E1806:F1806"/>
    <mergeCell ref="A1807:B1807"/>
    <mergeCell ref="D1807:F1807"/>
    <mergeCell ref="A1779:G1779"/>
    <mergeCell ref="A1780:G1780"/>
    <mergeCell ref="A1781:G1781"/>
    <mergeCell ref="C1790:D1790"/>
    <mergeCell ref="C1791:D1791"/>
    <mergeCell ref="B1796:E1796"/>
    <mergeCell ref="B1800:E1800"/>
    <mergeCell ref="B1801:E1801"/>
    <mergeCell ref="A1810:G1810"/>
    <mergeCell ref="A1811:G1811"/>
    <mergeCell ref="A1812:G1812"/>
    <mergeCell ref="C1821:D1821"/>
    <mergeCell ref="A1635:G1635"/>
    <mergeCell ref="A1737:B1737"/>
    <mergeCell ref="E1737:F1737"/>
    <mergeCell ref="A1738:B1738"/>
    <mergeCell ref="D1738:F1738"/>
    <mergeCell ref="A1771:B1771"/>
    <mergeCell ref="D1771:F1771"/>
    <mergeCell ref="A1772:B1772"/>
    <mergeCell ref="D1772:F1772"/>
    <mergeCell ref="A1775:B1775"/>
    <mergeCell ref="E1775:F1775"/>
    <mergeCell ref="A1694:B1694"/>
    <mergeCell ref="D1694:F1694"/>
    <mergeCell ref="A1697:B1697"/>
    <mergeCell ref="E1697:F1697"/>
    <mergeCell ref="A1698:B1698"/>
    <mergeCell ref="D1698:F1698"/>
    <mergeCell ref="A1733:B1733"/>
    <mergeCell ref="D1733:F1733"/>
    <mergeCell ref="A1734:B1734"/>
    <mergeCell ref="D1734:F1734"/>
    <mergeCell ref="A1740:G1740"/>
    <mergeCell ref="A1741:G1741"/>
    <mergeCell ref="C1750:D1750"/>
    <mergeCell ref="C1751:D1751"/>
    <mergeCell ref="B1756:E1756"/>
    <mergeCell ref="B1761:E1761"/>
    <mergeCell ref="B1769:E1769"/>
    <mergeCell ref="B1770:E1770"/>
    <mergeCell ref="B1732:E1732"/>
    <mergeCell ref="A1636:G1636"/>
    <mergeCell ref="A1637:G1637"/>
    <mergeCell ref="A1565:B1565"/>
    <mergeCell ref="D1565:F1565"/>
    <mergeCell ref="A1599:B1599"/>
    <mergeCell ref="D1599:F1599"/>
    <mergeCell ref="A1600:B1600"/>
    <mergeCell ref="D1600:F1600"/>
    <mergeCell ref="A1603:B1603"/>
    <mergeCell ref="E1603:F1603"/>
    <mergeCell ref="A1604:B1604"/>
    <mergeCell ref="D1604:F1604"/>
    <mergeCell ref="A1567:G1567"/>
    <mergeCell ref="A1568:G1568"/>
    <mergeCell ref="A1569:G1569"/>
    <mergeCell ref="C1578:D1578"/>
    <mergeCell ref="C1579:D1579"/>
    <mergeCell ref="B1585:E1585"/>
    <mergeCell ref="B1589:E1589"/>
    <mergeCell ref="B1597:E1597"/>
    <mergeCell ref="B1598:E1598"/>
    <mergeCell ref="A1535:B1535"/>
    <mergeCell ref="E1535:F1535"/>
    <mergeCell ref="A1536:B1536"/>
    <mergeCell ref="D1536:F1536"/>
    <mergeCell ref="A1560:B1560"/>
    <mergeCell ref="D1560:F1560"/>
    <mergeCell ref="A1561:B1561"/>
    <mergeCell ref="D1561:F1561"/>
    <mergeCell ref="A1564:B1564"/>
    <mergeCell ref="E1564:F1564"/>
    <mergeCell ref="A1488:B1488"/>
    <mergeCell ref="D1488:F1488"/>
    <mergeCell ref="A1491:B1491"/>
    <mergeCell ref="E1491:F1491"/>
    <mergeCell ref="A1492:B1492"/>
    <mergeCell ref="D1492:F1492"/>
    <mergeCell ref="A1531:B1531"/>
    <mergeCell ref="D1531:F1531"/>
    <mergeCell ref="A1532:B1532"/>
    <mergeCell ref="D1532:F1532"/>
    <mergeCell ref="B1529:E1529"/>
    <mergeCell ref="A1537:G1537"/>
    <mergeCell ref="A1538:G1538"/>
    <mergeCell ref="A1539:G1539"/>
    <mergeCell ref="C1548:D1548"/>
    <mergeCell ref="C1549:D1549"/>
    <mergeCell ref="B1554:E1554"/>
    <mergeCell ref="B1557:E1557"/>
    <mergeCell ref="B1559:E1559"/>
    <mergeCell ref="A1452:B1452"/>
    <mergeCell ref="D1452:F1452"/>
    <mergeCell ref="A1453:B1453"/>
    <mergeCell ref="D1453:F1453"/>
    <mergeCell ref="A1456:B1456"/>
    <mergeCell ref="E1456:F1456"/>
    <mergeCell ref="A1457:B1457"/>
    <mergeCell ref="D1457:F1457"/>
    <mergeCell ref="A1487:B1487"/>
    <mergeCell ref="D1487:F1487"/>
    <mergeCell ref="A1415:B1415"/>
    <mergeCell ref="D1415:F1415"/>
    <mergeCell ref="A1416:B1416"/>
    <mergeCell ref="D1416:F1416"/>
    <mergeCell ref="A1419:B1419"/>
    <mergeCell ref="E1419:F1419"/>
    <mergeCell ref="A1420:B1420"/>
    <mergeCell ref="D1420:F1420"/>
    <mergeCell ref="A1458:G1458"/>
    <mergeCell ref="A1459:G1459"/>
    <mergeCell ref="A1460:G1460"/>
    <mergeCell ref="C1464:D1464"/>
    <mergeCell ref="C1465:D1465"/>
    <mergeCell ref="A1428:B1428"/>
    <mergeCell ref="A1450:B1450"/>
    <mergeCell ref="C1429:D1429"/>
    <mergeCell ref="C1430:D1430"/>
    <mergeCell ref="A1422:G1422"/>
    <mergeCell ref="D1323:F1323"/>
    <mergeCell ref="A1362:B1362"/>
    <mergeCell ref="D1362:F1362"/>
    <mergeCell ref="A1363:B1363"/>
    <mergeCell ref="D1363:F1363"/>
    <mergeCell ref="A1366:B1366"/>
    <mergeCell ref="E1366:F1366"/>
    <mergeCell ref="A1367:B1367"/>
    <mergeCell ref="D1367:F1367"/>
    <mergeCell ref="A1216:B1216"/>
    <mergeCell ref="D1216:F1216"/>
    <mergeCell ref="A1249:B1249"/>
    <mergeCell ref="D1249:F1249"/>
    <mergeCell ref="A1250:B1250"/>
    <mergeCell ref="D1250:F1250"/>
    <mergeCell ref="A1253:B1253"/>
    <mergeCell ref="E1253:F1253"/>
    <mergeCell ref="A1254:B1254"/>
    <mergeCell ref="D1254:F1254"/>
    <mergeCell ref="E1288:F1288"/>
    <mergeCell ref="A1289:B1289"/>
    <mergeCell ref="D1289:G1289"/>
    <mergeCell ref="D1211:F1211"/>
    <mergeCell ref="A1212:B1212"/>
    <mergeCell ref="D1212:F1212"/>
    <mergeCell ref="A1215:B1215"/>
    <mergeCell ref="E1215:F1215"/>
    <mergeCell ref="A1094:B1094"/>
    <mergeCell ref="D1094:F1094"/>
    <mergeCell ref="A1097:B1097"/>
    <mergeCell ref="E1097:F1097"/>
    <mergeCell ref="A1098:B1098"/>
    <mergeCell ref="D1098:F1098"/>
    <mergeCell ref="A1129:B1129"/>
    <mergeCell ref="D1129:F1129"/>
    <mergeCell ref="A1130:B1130"/>
    <mergeCell ref="D1130:F1130"/>
    <mergeCell ref="A1179:G1179"/>
    <mergeCell ref="A1107:B1107"/>
    <mergeCell ref="A1175:B1175"/>
    <mergeCell ref="D1175:G1175"/>
    <mergeCell ref="A1139:G1139"/>
    <mergeCell ref="A1145:B1145"/>
    <mergeCell ref="C1147:D1147"/>
    <mergeCell ref="C1148:D1148"/>
    <mergeCell ref="A1170:B1170"/>
    <mergeCell ref="D1170:G1170"/>
    <mergeCell ref="A1171:B1171"/>
    <mergeCell ref="D1171:G1171"/>
    <mergeCell ref="A828:B828"/>
    <mergeCell ref="D828:F828"/>
    <mergeCell ref="A888:B888"/>
    <mergeCell ref="D888:F888"/>
    <mergeCell ref="A889:B889"/>
    <mergeCell ref="D889:F889"/>
    <mergeCell ref="A892:B892"/>
    <mergeCell ref="E892:F892"/>
    <mergeCell ref="A893:B893"/>
    <mergeCell ref="D893:F893"/>
    <mergeCell ref="B1004:E1004"/>
    <mergeCell ref="D1052:G1052"/>
    <mergeCell ref="A1048:B1048"/>
    <mergeCell ref="D1048:G1048"/>
    <mergeCell ref="A1051:B1051"/>
    <mergeCell ref="E1051:F1051"/>
    <mergeCell ref="A1012:F1012"/>
    <mergeCell ref="A1013:F1013"/>
    <mergeCell ref="A1014:F1014"/>
    <mergeCell ref="A932:G932"/>
    <mergeCell ref="A933:G933"/>
    <mergeCell ref="A934:G934"/>
    <mergeCell ref="D927:F927"/>
    <mergeCell ref="A930:B930"/>
    <mergeCell ref="E930:F930"/>
    <mergeCell ref="A931:B931"/>
    <mergeCell ref="D931:F931"/>
    <mergeCell ref="A972:B972"/>
    <mergeCell ref="D972:F972"/>
    <mergeCell ref="A1006:B1006"/>
    <mergeCell ref="D1006:F1006"/>
    <mergeCell ref="A1007:B1007"/>
    <mergeCell ref="A796:B796"/>
    <mergeCell ref="E796:F796"/>
    <mergeCell ref="A797:B797"/>
    <mergeCell ref="D797:F797"/>
    <mergeCell ref="A823:B823"/>
    <mergeCell ref="D823:F823"/>
    <mergeCell ref="A824:B824"/>
    <mergeCell ref="D824:F824"/>
    <mergeCell ref="A827:B827"/>
    <mergeCell ref="E827:F827"/>
    <mergeCell ref="A750:B750"/>
    <mergeCell ref="D750:F750"/>
    <mergeCell ref="A751:B751"/>
    <mergeCell ref="D751:F751"/>
    <mergeCell ref="A754:B754"/>
    <mergeCell ref="E754:F754"/>
    <mergeCell ref="A755:B755"/>
    <mergeCell ref="D755:F755"/>
    <mergeCell ref="A792:B792"/>
    <mergeCell ref="D792:F792"/>
    <mergeCell ref="A758:G758"/>
    <mergeCell ref="A765:A766"/>
    <mergeCell ref="A632:B632"/>
    <mergeCell ref="D632:F632"/>
    <mergeCell ref="A667:B667"/>
    <mergeCell ref="D667:F667"/>
    <mergeCell ref="A668:B668"/>
    <mergeCell ref="D668:F668"/>
    <mergeCell ref="A671:B671"/>
    <mergeCell ref="E671:F671"/>
    <mergeCell ref="A672:B672"/>
    <mergeCell ref="D672:F672"/>
    <mergeCell ref="A590:B590"/>
    <mergeCell ref="E590:F590"/>
    <mergeCell ref="A591:B591"/>
    <mergeCell ref="D591:F591"/>
    <mergeCell ref="A627:B627"/>
    <mergeCell ref="D627:F627"/>
    <mergeCell ref="A628:B628"/>
    <mergeCell ref="D628:F628"/>
    <mergeCell ref="A631:B631"/>
    <mergeCell ref="E631:F631"/>
    <mergeCell ref="A594:G594"/>
    <mergeCell ref="C600:D600"/>
    <mergeCell ref="C601:D601"/>
    <mergeCell ref="C643:D643"/>
    <mergeCell ref="A666:B666"/>
    <mergeCell ref="A548:B548"/>
    <mergeCell ref="D548:F548"/>
    <mergeCell ref="A551:B551"/>
    <mergeCell ref="E551:F551"/>
    <mergeCell ref="A552:B552"/>
    <mergeCell ref="D552:F552"/>
    <mergeCell ref="A586:B586"/>
    <mergeCell ref="D586:F586"/>
    <mergeCell ref="A587:B587"/>
    <mergeCell ref="D587:F587"/>
    <mergeCell ref="A504:B504"/>
    <mergeCell ref="D504:F504"/>
    <mergeCell ref="A505:B505"/>
    <mergeCell ref="D505:F505"/>
    <mergeCell ref="A508:B508"/>
    <mergeCell ref="E508:F508"/>
    <mergeCell ref="A509:B509"/>
    <mergeCell ref="D509:F509"/>
    <mergeCell ref="A547:B547"/>
    <mergeCell ref="D547:F547"/>
    <mergeCell ref="A518:B518"/>
    <mergeCell ref="C520:D520"/>
    <mergeCell ref="C521:D521"/>
    <mergeCell ref="B545:E545"/>
    <mergeCell ref="A553:G553"/>
    <mergeCell ref="A554:G554"/>
    <mergeCell ref="A204:G204"/>
    <mergeCell ref="C211:D211"/>
    <mergeCell ref="C212:D212"/>
    <mergeCell ref="A236:B236"/>
    <mergeCell ref="A237:B237"/>
    <mergeCell ref="D237:F237"/>
    <mergeCell ref="A238:B238"/>
    <mergeCell ref="D238:F238"/>
    <mergeCell ref="A241:B241"/>
    <mergeCell ref="E241:F241"/>
    <mergeCell ref="A242:B242"/>
    <mergeCell ref="D242:F242"/>
    <mergeCell ref="E440:F440"/>
    <mergeCell ref="A441:B441"/>
    <mergeCell ref="D441:F441"/>
    <mergeCell ref="A349:B349"/>
    <mergeCell ref="E349:F349"/>
    <mergeCell ref="A350:B350"/>
    <mergeCell ref="D350:F350"/>
    <mergeCell ref="A396:B396"/>
    <mergeCell ref="D396:F396"/>
    <mergeCell ref="A397:B397"/>
    <mergeCell ref="D397:F397"/>
    <mergeCell ref="A400:B400"/>
    <mergeCell ref="E400:F400"/>
    <mergeCell ref="B434:E434"/>
    <mergeCell ref="C1299:D1299"/>
    <mergeCell ref="B1316:E1316"/>
    <mergeCell ref="A1368:G1368"/>
    <mergeCell ref="A1369:G1369"/>
    <mergeCell ref="A1370:G1370"/>
    <mergeCell ref="A1318:B1318"/>
    <mergeCell ref="D1318:F1318"/>
    <mergeCell ref="A1319:B1319"/>
    <mergeCell ref="D1319:F1319"/>
    <mergeCell ref="A1322:B1322"/>
    <mergeCell ref="E1322:F1322"/>
    <mergeCell ref="A1061:B1061"/>
    <mergeCell ref="C1110:D1110"/>
    <mergeCell ref="C1109:D1109"/>
    <mergeCell ref="A830:G830"/>
    <mergeCell ref="A831:G831"/>
    <mergeCell ref="C942:D942"/>
    <mergeCell ref="B924:E924"/>
    <mergeCell ref="A973:F973"/>
    <mergeCell ref="A974:F974"/>
    <mergeCell ref="A975:F975"/>
    <mergeCell ref="A981:B981"/>
    <mergeCell ref="C983:D983"/>
    <mergeCell ref="C984:D984"/>
    <mergeCell ref="A926:B926"/>
    <mergeCell ref="D926:F926"/>
    <mergeCell ref="A927:B927"/>
    <mergeCell ref="A1133:B1133"/>
    <mergeCell ref="E1133:F1133"/>
    <mergeCell ref="A1134:B1134"/>
    <mergeCell ref="D1134:F1134"/>
    <mergeCell ref="A1211:B1211"/>
    <mergeCell ref="A896:F896"/>
    <mergeCell ref="A901:B901"/>
    <mergeCell ref="C904:D904"/>
    <mergeCell ref="A1225:B1225"/>
    <mergeCell ref="C1226:D1226"/>
    <mergeCell ref="C1227:D1227"/>
    <mergeCell ref="A1178:G1178"/>
    <mergeCell ref="C943:D943"/>
    <mergeCell ref="A967:B967"/>
    <mergeCell ref="D967:F967"/>
    <mergeCell ref="A968:B968"/>
    <mergeCell ref="D968:F968"/>
    <mergeCell ref="A971:B971"/>
    <mergeCell ref="E971:F971"/>
    <mergeCell ref="A311:B311"/>
    <mergeCell ref="D311:F311"/>
    <mergeCell ref="A314:B314"/>
    <mergeCell ref="E314:F314"/>
    <mergeCell ref="A315:B315"/>
    <mergeCell ref="D315:F315"/>
    <mergeCell ref="A345:B345"/>
    <mergeCell ref="A1053:G1053"/>
    <mergeCell ref="A1180:G1180"/>
    <mergeCell ref="A1185:B1185"/>
    <mergeCell ref="A793:B793"/>
    <mergeCell ref="D793:F793"/>
    <mergeCell ref="A401:B401"/>
    <mergeCell ref="D401:F401"/>
    <mergeCell ref="A436:B436"/>
    <mergeCell ref="D436:F436"/>
    <mergeCell ref="A437:B437"/>
    <mergeCell ref="D437:F437"/>
    <mergeCell ref="A680:B680"/>
    <mergeCell ref="C682:D682"/>
    <mergeCell ref="C683:D683"/>
    <mergeCell ref="B714:E714"/>
    <mergeCell ref="A510:G510"/>
    <mergeCell ref="A511:G511"/>
    <mergeCell ref="C452:D452"/>
    <mergeCell ref="C453:D453"/>
    <mergeCell ref="A838:B838"/>
    <mergeCell ref="C839:D839"/>
    <mergeCell ref="C840:D840"/>
    <mergeCell ref="A894:F894"/>
    <mergeCell ref="A895:F895"/>
    <mergeCell ref="A164:F164"/>
    <mergeCell ref="A165:F165"/>
    <mergeCell ref="A166:F166"/>
    <mergeCell ref="C174:D174"/>
    <mergeCell ref="C175:D175"/>
    <mergeCell ref="B195:E195"/>
    <mergeCell ref="A756:G756"/>
    <mergeCell ref="A757:G757"/>
    <mergeCell ref="A626:E626"/>
    <mergeCell ref="A633:B633"/>
    <mergeCell ref="A673:F673"/>
    <mergeCell ref="A196:B196"/>
    <mergeCell ref="D196:F196"/>
    <mergeCell ref="A197:B197"/>
    <mergeCell ref="D197:F197"/>
    <mergeCell ref="A200:B200"/>
    <mergeCell ref="E200:F200"/>
    <mergeCell ref="A201:B201"/>
    <mergeCell ref="D201:F201"/>
    <mergeCell ref="B1247:E1247"/>
    <mergeCell ref="A1325:F1325"/>
    <mergeCell ref="A1326:F1326"/>
    <mergeCell ref="A1327:F1327"/>
    <mergeCell ref="A1333:B1333"/>
    <mergeCell ref="C1335:D1335"/>
    <mergeCell ref="C1336:D1336"/>
    <mergeCell ref="B1360:E1360"/>
    <mergeCell ref="A1290:G1290"/>
    <mergeCell ref="A1291:G1291"/>
    <mergeCell ref="A1292:G1292"/>
    <mergeCell ref="A1297:B1297"/>
    <mergeCell ref="C1298:D1298"/>
    <mergeCell ref="A1288:B1288"/>
    <mergeCell ref="A1323:B1323"/>
    <mergeCell ref="A1:G1"/>
    <mergeCell ref="A2:G2"/>
    <mergeCell ref="A3:G3"/>
    <mergeCell ref="C10:D10"/>
    <mergeCell ref="C11:D11"/>
    <mergeCell ref="A157:B157"/>
    <mergeCell ref="A555:G555"/>
    <mergeCell ref="C562:D562"/>
    <mergeCell ref="C563:D563"/>
    <mergeCell ref="A592:G592"/>
    <mergeCell ref="A593:G593"/>
    <mergeCell ref="C905:D905"/>
    <mergeCell ref="C1063:D1063"/>
    <mergeCell ref="C1064:D1064"/>
    <mergeCell ref="A316:F316"/>
    <mergeCell ref="A317:F317"/>
    <mergeCell ref="A318:F318"/>
    <mergeCell ref="A3139:G3139"/>
    <mergeCell ref="A798:F798"/>
    <mergeCell ref="A799:F799"/>
    <mergeCell ref="A800:F800"/>
    <mergeCell ref="A807:B807"/>
    <mergeCell ref="C808:D808"/>
    <mergeCell ref="C809:D809"/>
    <mergeCell ref="A1099:G1099"/>
    <mergeCell ref="A1100:G1100"/>
    <mergeCell ref="A1101:G1101"/>
    <mergeCell ref="A832:G832"/>
    <mergeCell ref="B822:E822"/>
    <mergeCell ref="D1842:F1842"/>
    <mergeCell ref="A1843:B1843"/>
    <mergeCell ref="D1843:F1843"/>
    <mergeCell ref="A1846:B1846"/>
    <mergeCell ref="A2077:G2077"/>
    <mergeCell ref="C2086:D2086"/>
    <mergeCell ref="B1991:E1991"/>
    <mergeCell ref="A2002:G2002"/>
    <mergeCell ref="A2003:G2003"/>
    <mergeCell ref="A2004:G2004"/>
    <mergeCell ref="C2013:D2013"/>
    <mergeCell ref="C2014:D2014"/>
    <mergeCell ref="B2019:E2019"/>
    <mergeCell ref="C1378:D1378"/>
    <mergeCell ref="C1379:D1379"/>
    <mergeCell ref="A1421:G1421"/>
    <mergeCell ref="A1263:B1263"/>
    <mergeCell ref="C1265:D1265"/>
    <mergeCell ref="C1266:D1266"/>
    <mergeCell ref="B1281:E1281"/>
    <mergeCell ref="B3155:E3155"/>
    <mergeCell ref="A3140:G3140"/>
    <mergeCell ref="A3141:G3141"/>
    <mergeCell ref="A3147:B3147"/>
    <mergeCell ref="C3149:D3149"/>
    <mergeCell ref="C3150:D3150"/>
    <mergeCell ref="A1501:B1501"/>
    <mergeCell ref="C1502:D1502"/>
    <mergeCell ref="C1412:D1412"/>
    <mergeCell ref="B1413:E1413"/>
    <mergeCell ref="A1054:G1054"/>
    <mergeCell ref="C1187:D1187"/>
    <mergeCell ref="C1188:D1188"/>
    <mergeCell ref="A1055:G1055"/>
    <mergeCell ref="B1485:E1485"/>
    <mergeCell ref="A1494:G1494"/>
    <mergeCell ref="A1495:G1495"/>
    <mergeCell ref="A1496:G1496"/>
    <mergeCell ref="A1739:G1739"/>
    <mergeCell ref="C1503:D1503"/>
    <mergeCell ref="B2092:E2092"/>
    <mergeCell ref="B2097:E2097"/>
    <mergeCell ref="A1851:G1851"/>
    <mergeCell ref="A1852:G1852"/>
    <mergeCell ref="C1861:D1861"/>
    <mergeCell ref="C1862:D1862"/>
    <mergeCell ref="B1867:E1867"/>
    <mergeCell ref="B1872:E1872"/>
    <mergeCell ref="B1878:E1878"/>
    <mergeCell ref="B1879:E1879"/>
    <mergeCell ref="A1888:G1888"/>
    <mergeCell ref="A1842:B1842"/>
    <mergeCell ref="A3158:B3158"/>
    <mergeCell ref="D3158:F3158"/>
    <mergeCell ref="A3161:B3161"/>
    <mergeCell ref="E3161:F3161"/>
    <mergeCell ref="A3162:B3162"/>
    <mergeCell ref="D3162:F3162"/>
    <mergeCell ref="A2981:G2981"/>
    <mergeCell ref="A2982:G2982"/>
    <mergeCell ref="A2983:G2983"/>
    <mergeCell ref="C2990:D2990"/>
    <mergeCell ref="A2936:G2936"/>
    <mergeCell ref="A2937:G2937"/>
    <mergeCell ref="A2938:G2938"/>
    <mergeCell ref="C2945:D2945"/>
    <mergeCell ref="C2946:D2946"/>
    <mergeCell ref="C2947:D2947"/>
    <mergeCell ref="C2948:D2948"/>
    <mergeCell ref="C2949:D2949"/>
    <mergeCell ref="B2973:E2973"/>
    <mergeCell ref="A2974:B2974"/>
    <mergeCell ref="D2974:F2974"/>
    <mergeCell ref="A2975:B2975"/>
    <mergeCell ref="D2975:F2975"/>
    <mergeCell ref="A2978:B2978"/>
    <mergeCell ref="C2991:D2991"/>
    <mergeCell ref="A3097:G3097"/>
    <mergeCell ref="A3098:G3098"/>
    <mergeCell ref="A3104:B3104"/>
    <mergeCell ref="C3105:D3105"/>
    <mergeCell ref="C3106:D3106"/>
    <mergeCell ref="B3020:E3020"/>
    <mergeCell ref="B3130:E3130"/>
    <mergeCell ref="A158:B158"/>
    <mergeCell ref="D158:F158"/>
    <mergeCell ref="A159:B159"/>
    <mergeCell ref="D159:F159"/>
    <mergeCell ref="A278:B278"/>
    <mergeCell ref="E278:F278"/>
    <mergeCell ref="A279:B279"/>
    <mergeCell ref="D279:F279"/>
    <mergeCell ref="A403:F403"/>
    <mergeCell ref="A404:F404"/>
    <mergeCell ref="A405:F405"/>
    <mergeCell ref="A410:B410"/>
    <mergeCell ref="C413:D413"/>
    <mergeCell ref="C360:D360"/>
    <mergeCell ref="A352:F352"/>
    <mergeCell ref="C361:D361"/>
    <mergeCell ref="A243:F243"/>
    <mergeCell ref="A244:F244"/>
    <mergeCell ref="A245:F245"/>
    <mergeCell ref="C253:D253"/>
    <mergeCell ref="C254:D254"/>
    <mergeCell ref="B273:E273"/>
    <mergeCell ref="A274:B274"/>
    <mergeCell ref="D274:F274"/>
    <mergeCell ref="C326:D326"/>
    <mergeCell ref="C327:D327"/>
    <mergeCell ref="A310:B310"/>
    <mergeCell ref="D310:F310"/>
    <mergeCell ref="A275:B275"/>
    <mergeCell ref="D275:F275"/>
    <mergeCell ref="A202:G202"/>
    <mergeCell ref="A203:G203"/>
    <mergeCell ref="C2087:D2087"/>
    <mergeCell ref="B2023:E2023"/>
    <mergeCell ref="B1953:E1953"/>
    <mergeCell ref="A1962:G1962"/>
    <mergeCell ref="A1963:G1963"/>
    <mergeCell ref="A1964:G1964"/>
    <mergeCell ref="C1973:D1973"/>
    <mergeCell ref="C1974:D1974"/>
    <mergeCell ref="C1822:D1822"/>
    <mergeCell ref="B1827:E1827"/>
    <mergeCell ref="B1831:E1831"/>
    <mergeCell ref="B1835:E1835"/>
    <mergeCell ref="B1839:E1839"/>
    <mergeCell ref="B1840:E1840"/>
    <mergeCell ref="B1841:E1841"/>
    <mergeCell ref="A1850:G1850"/>
    <mergeCell ref="A162:B162"/>
    <mergeCell ref="E162:F162"/>
    <mergeCell ref="A163:B163"/>
    <mergeCell ref="D163:F163"/>
    <mergeCell ref="A353:F353"/>
    <mergeCell ref="A354:F354"/>
    <mergeCell ref="A359:B359"/>
    <mergeCell ref="C414:D414"/>
    <mergeCell ref="D1007:F1007"/>
    <mergeCell ref="A1010:B1010"/>
    <mergeCell ref="E1010:F1010"/>
    <mergeCell ref="A1011:B1011"/>
    <mergeCell ref="D1011:F1011"/>
    <mergeCell ref="A1093:B1093"/>
    <mergeCell ref="D1093:F1093"/>
    <mergeCell ref="A1284:B1284"/>
    <mergeCell ref="B1952:E1952"/>
    <mergeCell ref="A1959:B1959"/>
    <mergeCell ref="D1959:F1959"/>
    <mergeCell ref="A2026:B2026"/>
    <mergeCell ref="D2026:F2026"/>
    <mergeCell ref="A2029:B2029"/>
    <mergeCell ref="E2029:F2029"/>
    <mergeCell ref="B309:E309"/>
    <mergeCell ref="A443:G443"/>
    <mergeCell ref="A444:G444"/>
    <mergeCell ref="A445:G445"/>
    <mergeCell ref="A634:F634"/>
    <mergeCell ref="A635:F635"/>
    <mergeCell ref="A636:F636"/>
    <mergeCell ref="A641:B641"/>
    <mergeCell ref="D633:F633"/>
    <mergeCell ref="C642:D642"/>
    <mergeCell ref="A512:G512"/>
    <mergeCell ref="B344:E344"/>
    <mergeCell ref="D345:F345"/>
    <mergeCell ref="A346:B346"/>
    <mergeCell ref="D346:F346"/>
    <mergeCell ref="A440:B440"/>
    <mergeCell ref="D1284:G1284"/>
    <mergeCell ref="A1285:B1285"/>
    <mergeCell ref="D1285:G1285"/>
    <mergeCell ref="A1256:G1256"/>
    <mergeCell ref="A1257:G1257"/>
    <mergeCell ref="A1258:G1258"/>
    <mergeCell ref="A1218:G1218"/>
    <mergeCell ref="A1219:G1219"/>
    <mergeCell ref="A1220:G1220"/>
    <mergeCell ref="B1652:E1652"/>
    <mergeCell ref="B1656:E1656"/>
    <mergeCell ref="B1662:E1662"/>
    <mergeCell ref="B1663:E1663"/>
    <mergeCell ref="A2075:G2075"/>
    <mergeCell ref="A2076:G2076"/>
    <mergeCell ref="A1664:B1664"/>
    <mergeCell ref="D1664:F1664"/>
    <mergeCell ref="A1665:B1665"/>
    <mergeCell ref="D1665:F1665"/>
    <mergeCell ref="A1668:B1668"/>
    <mergeCell ref="E1668:F1668"/>
    <mergeCell ref="A1669:B1669"/>
    <mergeCell ref="D1669:F1669"/>
    <mergeCell ref="A1693:B1693"/>
    <mergeCell ref="D1693:F1693"/>
    <mergeCell ref="A1670:G1670"/>
    <mergeCell ref="A1671:G1671"/>
    <mergeCell ref="E1846:F1846"/>
    <mergeCell ref="A1847:B1847"/>
    <mergeCell ref="D1847:F1847"/>
    <mergeCell ref="B1979:E1979"/>
    <mergeCell ref="B1984:E1984"/>
    <mergeCell ref="B1990:E1990"/>
    <mergeCell ref="B1925:E1925"/>
    <mergeCell ref="A1926:G1926"/>
    <mergeCell ref="A1927:G1927"/>
    <mergeCell ref="A1928:G1928"/>
    <mergeCell ref="C1937:D1937"/>
    <mergeCell ref="C1938:D1938"/>
    <mergeCell ref="B1943:E1943"/>
    <mergeCell ref="B1948:E1948"/>
    <mergeCell ref="C1646:D1646"/>
    <mergeCell ref="A1672:G1672"/>
    <mergeCell ref="C1681:D1681"/>
    <mergeCell ref="C1682:D1682"/>
    <mergeCell ref="B1687:E1687"/>
    <mergeCell ref="B1690:E1690"/>
    <mergeCell ref="B1692:E1692"/>
    <mergeCell ref="A1702:G1702"/>
    <mergeCell ref="A2142:G2142"/>
    <mergeCell ref="A2143:G2143"/>
    <mergeCell ref="A2113:G2113"/>
    <mergeCell ref="A2114:G2114"/>
    <mergeCell ref="A2115:G2115"/>
    <mergeCell ref="C2124:D2124"/>
    <mergeCell ref="C2125:D2125"/>
    <mergeCell ref="B2130:E2130"/>
    <mergeCell ref="B2133:E2133"/>
    <mergeCell ref="B2135:E2135"/>
    <mergeCell ref="A1703:G1703"/>
    <mergeCell ref="A1704:G1704"/>
    <mergeCell ref="C1713:D1713"/>
    <mergeCell ref="C1714:D1714"/>
    <mergeCell ref="B1719:E1719"/>
    <mergeCell ref="B1723:E1723"/>
    <mergeCell ref="B1731:E1731"/>
    <mergeCell ref="B2103:E2103"/>
    <mergeCell ref="B2104:E2104"/>
    <mergeCell ref="A2034:G2034"/>
    <mergeCell ref="A2035:G2035"/>
    <mergeCell ref="A2036:G2036"/>
    <mergeCell ref="D2073:F2073"/>
    <mergeCell ref="C1647:D1647"/>
    <mergeCell ref="A2181:G2181"/>
    <mergeCell ref="A2182:G2182"/>
    <mergeCell ref="A2183:G2183"/>
    <mergeCell ref="A2169:B2169"/>
    <mergeCell ref="E2169:F2169"/>
    <mergeCell ref="A2170:B2170"/>
    <mergeCell ref="D2170:F2170"/>
    <mergeCell ref="A2460:G2460"/>
    <mergeCell ref="C2377:D2377"/>
    <mergeCell ref="C2378:D2378"/>
    <mergeCell ref="B2383:E2383"/>
    <mergeCell ref="B2386:E2386"/>
    <mergeCell ref="B2390:E2390"/>
    <mergeCell ref="B2393:E2393"/>
    <mergeCell ref="B2394:E2394"/>
    <mergeCell ref="C2249:D2249"/>
    <mergeCell ref="C2250:D2250"/>
    <mergeCell ref="A2267:B2267"/>
    <mergeCell ref="D2267:F2267"/>
    <mergeCell ref="A2268:B2268"/>
    <mergeCell ref="D2268:F2268"/>
    <mergeCell ref="A2271:B2271"/>
    <mergeCell ref="E2271:F2271"/>
    <mergeCell ref="A2272:B2272"/>
    <mergeCell ref="D2272:F2272"/>
    <mergeCell ref="A2308:B2308"/>
    <mergeCell ref="D2308:F2308"/>
    <mergeCell ref="A2309:B2309"/>
    <mergeCell ref="D2309:F2309"/>
    <mergeCell ref="A2312:B2312"/>
    <mergeCell ref="E2312:F2312"/>
    <mergeCell ref="C2192:D2192"/>
    <mergeCell ref="A2238:G2238"/>
    <mergeCell ref="A2239:G2239"/>
    <mergeCell ref="A2240:G2240"/>
    <mergeCell ref="A2217:B2217"/>
    <mergeCell ref="D2217:F2217"/>
    <mergeCell ref="A2218:B2218"/>
    <mergeCell ref="D2218:F2218"/>
    <mergeCell ref="A2221:B2221"/>
    <mergeCell ref="E2221:F2221"/>
    <mergeCell ref="A2222:B2222"/>
    <mergeCell ref="D2222:F2222"/>
    <mergeCell ref="A3096:G3096"/>
    <mergeCell ref="A2548:G2548"/>
    <mergeCell ref="A2549:G2549"/>
    <mergeCell ref="C2558:D2558"/>
    <mergeCell ref="C2559:D2559"/>
    <mergeCell ref="B2564:E2564"/>
    <mergeCell ref="B2567:E2567"/>
    <mergeCell ref="B2569:E2569"/>
    <mergeCell ref="C2749:D2749"/>
    <mergeCell ref="B2755:E2755"/>
    <mergeCell ref="B2759:E2759"/>
    <mergeCell ref="B2767:E2767"/>
    <mergeCell ref="B2768:E2768"/>
    <mergeCell ref="A2705:G2705"/>
    <mergeCell ref="A2706:G2706"/>
    <mergeCell ref="A2707:G2707"/>
    <mergeCell ref="A3089:B3089"/>
    <mergeCell ref="D3089:F3089"/>
    <mergeCell ref="A3090:B3090"/>
    <mergeCell ref="D3090:F3090"/>
    <mergeCell ref="A2396:B2396"/>
    <mergeCell ref="C1023:D1023"/>
    <mergeCell ref="A1047:B1047"/>
    <mergeCell ref="D1047:G1047"/>
    <mergeCell ref="C3038:D3038"/>
    <mergeCell ref="B3053:C3053"/>
    <mergeCell ref="B3056:E3056"/>
    <mergeCell ref="A2461:G2461"/>
    <mergeCell ref="A2462:G2462"/>
    <mergeCell ref="A1174:B1174"/>
    <mergeCell ref="E1174:F1174"/>
    <mergeCell ref="B2592:E2592"/>
    <mergeCell ref="B2600:E2600"/>
    <mergeCell ref="B2601:E2601"/>
    <mergeCell ref="A2547:G2547"/>
    <mergeCell ref="B2439:E2439"/>
    <mergeCell ref="B2395:E2395"/>
    <mergeCell ref="A2412:G2412"/>
    <mergeCell ref="A2368:G2368"/>
    <mergeCell ref="B2349:E2349"/>
    <mergeCell ref="A2366:G2366"/>
    <mergeCell ref="A2413:G2413"/>
    <mergeCell ref="A2414:G2414"/>
    <mergeCell ref="C2423:D2423"/>
    <mergeCell ref="C2424:D2424"/>
    <mergeCell ref="B2429:E2429"/>
    <mergeCell ref="A3028:G3028"/>
    <mergeCell ref="A3029:G3029"/>
    <mergeCell ref="A3030:G3030"/>
    <mergeCell ref="C3037:D3037"/>
    <mergeCell ref="B2588:E2588"/>
    <mergeCell ref="A1631:B1631"/>
    <mergeCell ref="E1631:F1631"/>
    <mergeCell ref="A280:G280"/>
    <mergeCell ref="A281:G281"/>
    <mergeCell ref="A282:G282"/>
    <mergeCell ref="A289:B289"/>
    <mergeCell ref="C291:D291"/>
    <mergeCell ref="C292:D292"/>
    <mergeCell ref="C297:E297"/>
    <mergeCell ref="C302:E302"/>
    <mergeCell ref="C307:E307"/>
    <mergeCell ref="C1022:D1022"/>
    <mergeCell ref="C733:D733"/>
    <mergeCell ref="B765:B766"/>
    <mergeCell ref="C765:F765"/>
    <mergeCell ref="G765:G766"/>
    <mergeCell ref="C766:D766"/>
    <mergeCell ref="C767:D767"/>
    <mergeCell ref="A1020:B1020"/>
    <mergeCell ref="A723:G723"/>
    <mergeCell ref="A724:G724"/>
    <mergeCell ref="A725:G725"/>
    <mergeCell ref="A731:B731"/>
    <mergeCell ref="A674:F674"/>
    <mergeCell ref="A716:B716"/>
    <mergeCell ref="D716:F716"/>
    <mergeCell ref="A717:B717"/>
    <mergeCell ref="D717:F717"/>
    <mergeCell ref="A720:B720"/>
    <mergeCell ref="E720:F720"/>
    <mergeCell ref="A721:B721"/>
    <mergeCell ref="D721:F721"/>
    <mergeCell ref="C732:D732"/>
    <mergeCell ref="A675:F675"/>
    <mergeCell ref="B2266:E2266"/>
    <mergeCell ref="B2539:E2539"/>
    <mergeCell ref="B2489:E2489"/>
    <mergeCell ref="A2513:G2513"/>
    <mergeCell ref="A2514:G2514"/>
    <mergeCell ref="A2515:G2515"/>
    <mergeCell ref="C2524:D2524"/>
    <mergeCell ref="C2525:D2525"/>
    <mergeCell ref="B2530:E2530"/>
    <mergeCell ref="B2534:E2534"/>
    <mergeCell ref="B2538:E2538"/>
    <mergeCell ref="C1618:D1618"/>
    <mergeCell ref="A1137:G1137"/>
    <mergeCell ref="A1138:G1138"/>
    <mergeCell ref="A1052:B1052"/>
    <mergeCell ref="B2433:E2433"/>
    <mergeCell ref="C2291:D2291"/>
    <mergeCell ref="B2296:E2296"/>
    <mergeCell ref="B2300:E2300"/>
    <mergeCell ref="B2306:E2306"/>
    <mergeCell ref="B2307:E2307"/>
    <mergeCell ref="A2323:G2323"/>
    <mergeCell ref="A2324:G2324"/>
    <mergeCell ref="A2325:G2325"/>
    <mergeCell ref="A1632:B1632"/>
    <mergeCell ref="D1632:F1632"/>
    <mergeCell ref="C1624:E1624"/>
    <mergeCell ref="C2193:D2193"/>
    <mergeCell ref="B2198:E2198"/>
    <mergeCell ref="B2203:E2203"/>
    <mergeCell ref="B2215:E2215"/>
    <mergeCell ref="B2216:E2216"/>
    <mergeCell ref="A1607:G1607"/>
    <mergeCell ref="A1608:G1608"/>
    <mergeCell ref="A1609:G1609"/>
    <mergeCell ref="A1616:B1616"/>
    <mergeCell ref="C1617:D1617"/>
    <mergeCell ref="A2571:G2571"/>
    <mergeCell ref="A2572:G2572"/>
    <mergeCell ref="A2573:G2573"/>
    <mergeCell ref="B2488:E2488"/>
    <mergeCell ref="C2334:D2334"/>
    <mergeCell ref="C2335:D2335"/>
    <mergeCell ref="B2340:E2340"/>
    <mergeCell ref="B2344:E2344"/>
    <mergeCell ref="B2348:E2348"/>
    <mergeCell ref="C2471:D2471"/>
    <mergeCell ref="C2472:D2472"/>
    <mergeCell ref="B2440:E2440"/>
    <mergeCell ref="C2290:D2290"/>
    <mergeCell ref="B2477:E2477"/>
    <mergeCell ref="B2481:E2481"/>
    <mergeCell ref="A2279:G2279"/>
    <mergeCell ref="A2280:G2280"/>
    <mergeCell ref="A2281:G2281"/>
    <mergeCell ref="A1627:B1627"/>
    <mergeCell ref="D1627:F1627"/>
    <mergeCell ref="A1628:B1628"/>
    <mergeCell ref="D1628:F1628"/>
    <mergeCell ref="B1626:E1626"/>
    <mergeCell ref="A2367:G2367"/>
    <mergeCell ref="B2255:E2255"/>
    <mergeCell ref="B2259:E2259"/>
    <mergeCell ref="B2265:E2265"/>
    <mergeCell ref="B2623:E2623"/>
    <mergeCell ref="B2629:E2629"/>
    <mergeCell ref="B2630:E2630"/>
    <mergeCell ref="C2716:D2716"/>
    <mergeCell ref="C2717:D2717"/>
    <mergeCell ref="B2722:E2722"/>
    <mergeCell ref="B2725:E2725"/>
    <mergeCell ref="B2727:E2727"/>
    <mergeCell ref="A2737:G2737"/>
    <mergeCell ref="C2582:D2582"/>
    <mergeCell ref="C2583:D2583"/>
    <mergeCell ref="A2698:B2698"/>
    <mergeCell ref="D2698:F2698"/>
    <mergeCell ref="A2699:B2699"/>
    <mergeCell ref="D2699:F2699"/>
    <mergeCell ref="A2702:B2702"/>
    <mergeCell ref="E2702:F2702"/>
    <mergeCell ref="A2703:B2703"/>
    <mergeCell ref="D2703:F2703"/>
    <mergeCell ref="A2728:B2728"/>
    <mergeCell ref="D2728:F2728"/>
    <mergeCell ref="B2696:E2696"/>
    <mergeCell ref="B2697:E269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27"/>
  <sheetViews>
    <sheetView zoomScale="140" zoomScaleNormal="140" workbookViewId="0">
      <pane ySplit="1680" topLeftCell="A716" activePane="bottomLeft"/>
      <selection sqref="A1:XFD3"/>
      <selection pane="bottomLeft" activeCell="A724" sqref="A724:XFD729"/>
    </sheetView>
  </sheetViews>
  <sheetFormatPr defaultColWidth="8.7109375" defaultRowHeight="15" x14ac:dyDescent="0.25"/>
  <cols>
    <col min="1" max="1" width="16" customWidth="1"/>
    <col min="2" max="2" width="26.5703125" customWidth="1"/>
    <col min="3" max="3" width="6" customWidth="1"/>
    <col min="4" max="4" width="6.140625" customWidth="1"/>
    <col min="5" max="5" width="16.28515625" customWidth="1"/>
    <col min="6" max="6" width="17.28515625" customWidth="1"/>
    <col min="7" max="7" width="7.7109375" customWidth="1"/>
    <col min="12" max="12" width="16.42578125" customWidth="1"/>
    <col min="13" max="13" width="17" customWidth="1"/>
    <col min="14" max="14" width="17.140625" customWidth="1"/>
    <col min="15" max="15" width="15.140625" customWidth="1"/>
    <col min="16" max="16" width="20.140625" customWidth="1"/>
    <col min="17" max="17" width="15.42578125" customWidth="1"/>
    <col min="18" max="18" width="11.85546875" customWidth="1"/>
    <col min="19" max="19" width="14.140625" customWidth="1"/>
    <col min="20" max="20" width="17.5703125" customWidth="1"/>
    <col min="21" max="21" width="19.7109375" customWidth="1"/>
    <col min="22" max="22" width="15.140625" customWidth="1"/>
    <col min="23" max="24" width="14.28515625" bestFit="1" customWidth="1"/>
    <col min="25" max="25" width="15.140625" customWidth="1"/>
    <col min="26" max="27" width="11.85546875" customWidth="1"/>
    <col min="28" max="28" width="14.28515625" bestFit="1" customWidth="1"/>
  </cols>
  <sheetData>
    <row r="1" spans="1:28" x14ac:dyDescent="0.25">
      <c r="A1" s="1937" t="s">
        <v>0</v>
      </c>
      <c r="B1" s="1937"/>
      <c r="C1" s="1937"/>
      <c r="D1" s="1937"/>
      <c r="E1" s="1937"/>
      <c r="F1" s="1937"/>
      <c r="G1" s="1937"/>
      <c r="L1" s="129" t="s">
        <v>1711</v>
      </c>
      <c r="M1" s="129" t="s">
        <v>1409</v>
      </c>
      <c r="N1" s="129" t="s">
        <v>1845</v>
      </c>
      <c r="O1" s="129" t="s">
        <v>2565</v>
      </c>
      <c r="P1" s="129" t="s">
        <v>1605</v>
      </c>
      <c r="Q1" s="129" t="s">
        <v>2566</v>
      </c>
      <c r="R1" s="129" t="s">
        <v>2567</v>
      </c>
      <c r="S1" s="129" t="s">
        <v>1417</v>
      </c>
      <c r="T1" s="129" t="s">
        <v>2568</v>
      </c>
      <c r="U1" s="129" t="s">
        <v>2569</v>
      </c>
      <c r="V1" s="129" t="s">
        <v>2570</v>
      </c>
      <c r="W1" s="129" t="s">
        <v>2571</v>
      </c>
      <c r="X1" s="129" t="s">
        <v>2572</v>
      </c>
      <c r="Y1" s="129" t="s">
        <v>2573</v>
      </c>
      <c r="Z1" s="129" t="s">
        <v>2574</v>
      </c>
      <c r="AA1" s="129" t="s">
        <v>2575</v>
      </c>
      <c r="AB1" s="129" t="s">
        <v>2597</v>
      </c>
    </row>
    <row r="2" spans="1:28" x14ac:dyDescent="0.25">
      <c r="A2" s="1937" t="s">
        <v>1</v>
      </c>
      <c r="B2" s="1937"/>
      <c r="C2" s="1937"/>
      <c r="D2" s="1937"/>
      <c r="E2" s="1937"/>
      <c r="F2" s="1937"/>
      <c r="G2" s="1937"/>
      <c r="L2" s="83">
        <f t="shared" ref="L2:AB2" si="0">SUM(L3:L716)</f>
        <v>33041000</v>
      </c>
      <c r="M2" s="83">
        <f t="shared" si="0"/>
        <v>33065300</v>
      </c>
      <c r="N2" s="83">
        <f t="shared" si="0"/>
        <v>2122230000</v>
      </c>
      <c r="O2" s="83">
        <f t="shared" si="0"/>
        <v>0</v>
      </c>
      <c r="P2" s="83">
        <f t="shared" si="0"/>
        <v>0</v>
      </c>
      <c r="Q2" s="83">
        <f t="shared" si="0"/>
        <v>0</v>
      </c>
      <c r="R2" s="83">
        <f t="shared" si="0"/>
        <v>0</v>
      </c>
      <c r="S2" s="83">
        <f t="shared" si="0"/>
        <v>1205000</v>
      </c>
      <c r="T2" s="83">
        <f t="shared" si="0"/>
        <v>0</v>
      </c>
      <c r="U2" s="83">
        <f t="shared" si="0"/>
        <v>14791000</v>
      </c>
      <c r="V2" s="83">
        <f t="shared" si="0"/>
        <v>0</v>
      </c>
      <c r="W2" s="83">
        <f t="shared" si="0"/>
        <v>0</v>
      </c>
      <c r="X2" s="83">
        <f t="shared" si="0"/>
        <v>0</v>
      </c>
      <c r="Y2" s="83">
        <f t="shared" si="0"/>
        <v>0</v>
      </c>
      <c r="Z2" s="83">
        <f t="shared" si="0"/>
        <v>0</v>
      </c>
      <c r="AA2" s="83">
        <f t="shared" si="0"/>
        <v>0</v>
      </c>
      <c r="AB2" s="83">
        <f t="shared" si="0"/>
        <v>0</v>
      </c>
    </row>
    <row r="3" spans="1:28" x14ac:dyDescent="0.25">
      <c r="A3" s="1937" t="s">
        <v>1769</v>
      </c>
      <c r="B3" s="1937"/>
      <c r="C3" s="1937"/>
      <c r="D3" s="1937"/>
      <c r="E3" s="1937"/>
      <c r="F3" s="1937"/>
      <c r="G3" s="1937"/>
    </row>
    <row r="4" spans="1:28" x14ac:dyDescent="0.25">
      <c r="A4" s="301"/>
      <c r="B4" s="301"/>
      <c r="C4" s="690"/>
      <c r="D4" s="690"/>
      <c r="E4" s="306"/>
      <c r="F4" s="301"/>
      <c r="G4" s="223"/>
    </row>
    <row r="5" spans="1:28" x14ac:dyDescent="0.25">
      <c r="A5" s="664" t="s">
        <v>524</v>
      </c>
      <c r="B5" s="664" t="s">
        <v>441</v>
      </c>
      <c r="C5" s="664"/>
      <c r="D5" s="664"/>
      <c r="E5" s="668"/>
      <c r="F5" s="664"/>
      <c r="G5" s="223"/>
    </row>
    <row r="6" spans="1:28" x14ac:dyDescent="0.25">
      <c r="A6" s="664" t="s">
        <v>525</v>
      </c>
      <c r="B6" s="664" t="s">
        <v>2210</v>
      </c>
      <c r="C6" s="664"/>
      <c r="D6" s="664"/>
      <c r="E6" s="223"/>
      <c r="F6" s="223"/>
      <c r="G6" s="223"/>
    </row>
    <row r="7" spans="1:28" ht="45" x14ac:dyDescent="0.25">
      <c r="A7" s="307" t="s">
        <v>526</v>
      </c>
      <c r="B7" s="729" t="s">
        <v>2211</v>
      </c>
      <c r="C7" s="664"/>
      <c r="D7" s="664"/>
      <c r="E7" s="223"/>
      <c r="F7" s="223"/>
      <c r="G7" s="223"/>
    </row>
    <row r="8" spans="1:28" ht="30" x14ac:dyDescent="0.25">
      <c r="A8" s="305" t="s">
        <v>502</v>
      </c>
      <c r="B8" s="304" t="s">
        <v>61</v>
      </c>
      <c r="C8" s="301"/>
      <c r="D8" s="301"/>
      <c r="E8" s="301"/>
      <c r="F8" s="301"/>
      <c r="G8" s="223"/>
    </row>
    <row r="9" spans="1:28" x14ac:dyDescent="0.25">
      <c r="A9" s="1814" t="s">
        <v>503</v>
      </c>
      <c r="B9" s="1814"/>
      <c r="C9" s="690"/>
      <c r="D9" s="690"/>
      <c r="E9" s="306"/>
      <c r="F9" s="301"/>
      <c r="G9" s="298"/>
    </row>
    <row r="10" spans="1:28" ht="30" x14ac:dyDescent="0.25">
      <c r="A10" s="669" t="s">
        <v>30</v>
      </c>
      <c r="B10" s="669" t="s">
        <v>11</v>
      </c>
      <c r="C10" s="1978" t="s">
        <v>12</v>
      </c>
      <c r="D10" s="1979"/>
      <c r="E10" s="694" t="s">
        <v>13</v>
      </c>
      <c r="F10" s="695" t="s">
        <v>14</v>
      </c>
      <c r="G10" s="340" t="s">
        <v>34</v>
      </c>
    </row>
    <row r="11" spans="1:28" x14ac:dyDescent="0.25">
      <c r="A11" s="323">
        <v>1</v>
      </c>
      <c r="B11" s="323">
        <v>2</v>
      </c>
      <c r="C11" s="1838">
        <v>3</v>
      </c>
      <c r="D11" s="1839"/>
      <c r="E11" s="670">
        <v>4</v>
      </c>
      <c r="F11" s="321">
        <v>5</v>
      </c>
      <c r="G11" s="342">
        <v>6</v>
      </c>
    </row>
    <row r="12" spans="1:28" x14ac:dyDescent="0.25">
      <c r="A12" s="348" t="s">
        <v>528</v>
      </c>
      <c r="B12" s="332" t="s">
        <v>495</v>
      </c>
      <c r="C12" s="696"/>
      <c r="D12" s="697"/>
      <c r="E12" s="698"/>
      <c r="F12" s="696"/>
      <c r="G12" s="343"/>
    </row>
    <row r="13" spans="1:28" x14ac:dyDescent="0.25">
      <c r="A13" s="348" t="s">
        <v>529</v>
      </c>
      <c r="B13" s="332" t="s">
        <v>86</v>
      </c>
      <c r="C13" s="696"/>
      <c r="D13" s="697"/>
      <c r="E13" s="698"/>
      <c r="F13" s="696"/>
      <c r="G13" s="343"/>
    </row>
    <row r="14" spans="1:28" ht="30" x14ac:dyDescent="0.25">
      <c r="A14" s="348" t="s">
        <v>530</v>
      </c>
      <c r="B14" s="332" t="s">
        <v>317</v>
      </c>
      <c r="C14" s="345"/>
      <c r="D14" s="344"/>
      <c r="E14" s="337"/>
      <c r="F14" s="699"/>
      <c r="G14" s="324"/>
    </row>
    <row r="15" spans="1:28" x14ac:dyDescent="0.25">
      <c r="A15" s="343"/>
      <c r="B15" s="329" t="s">
        <v>2212</v>
      </c>
      <c r="C15" s="345">
        <v>20</v>
      </c>
      <c r="D15" s="344" t="s">
        <v>507</v>
      </c>
      <c r="E15" s="337">
        <v>15000</v>
      </c>
      <c r="F15" s="699">
        <f>E15*C15</f>
        <v>300000</v>
      </c>
      <c r="G15" s="324"/>
    </row>
    <row r="16" spans="1:28" x14ac:dyDescent="0.25">
      <c r="A16" s="343"/>
      <c r="B16" s="329"/>
      <c r="C16" s="345"/>
      <c r="D16" s="344"/>
      <c r="E16" s="337"/>
      <c r="F16" s="699"/>
      <c r="G16" s="324"/>
    </row>
    <row r="17" spans="1:7" ht="30" x14ac:dyDescent="0.25">
      <c r="A17" s="348" t="s">
        <v>531</v>
      </c>
      <c r="B17" s="332" t="s">
        <v>337</v>
      </c>
      <c r="C17" s="345"/>
      <c r="D17" s="344"/>
      <c r="E17" s="337"/>
      <c r="F17" s="699"/>
      <c r="G17" s="324"/>
    </row>
    <row r="18" spans="1:7" x14ac:dyDescent="0.25">
      <c r="A18" s="343"/>
      <c r="B18" s="329" t="s">
        <v>338</v>
      </c>
      <c r="C18" s="345">
        <v>1</v>
      </c>
      <c r="D18" s="344" t="s">
        <v>95</v>
      </c>
      <c r="E18" s="337">
        <v>90000</v>
      </c>
      <c r="F18" s="699">
        <f>E18*C18</f>
        <v>90000</v>
      </c>
      <c r="G18" s="324"/>
    </row>
    <row r="19" spans="1:7" x14ac:dyDescent="0.25">
      <c r="A19" s="343"/>
      <c r="B19" s="329"/>
      <c r="C19" s="345"/>
      <c r="D19" s="344"/>
      <c r="E19" s="337"/>
      <c r="F19" s="699"/>
      <c r="G19" s="324"/>
    </row>
    <row r="20" spans="1:7" ht="30" x14ac:dyDescent="0.25">
      <c r="A20" s="329" t="s">
        <v>532</v>
      </c>
      <c r="B20" s="332" t="s">
        <v>450</v>
      </c>
      <c r="C20" s="345"/>
      <c r="D20" s="344"/>
      <c r="E20" s="337"/>
      <c r="F20" s="700"/>
      <c r="G20" s="324"/>
    </row>
    <row r="21" spans="1:7" x14ac:dyDescent="0.25">
      <c r="A21" s="329"/>
      <c r="B21" s="329" t="s">
        <v>451</v>
      </c>
      <c r="C21" s="345">
        <v>1</v>
      </c>
      <c r="D21" s="344" t="s">
        <v>95</v>
      </c>
      <c r="E21" s="337">
        <v>50000</v>
      </c>
      <c r="F21" s="700">
        <f>E21*C21</f>
        <v>50000</v>
      </c>
      <c r="G21" s="324"/>
    </row>
    <row r="22" spans="1:7" x14ac:dyDescent="0.25">
      <c r="A22" s="329"/>
      <c r="B22" s="329" t="s">
        <v>285</v>
      </c>
      <c r="C22" s="345">
        <v>5</v>
      </c>
      <c r="D22" s="344" t="s">
        <v>647</v>
      </c>
      <c r="E22" s="337">
        <v>3000</v>
      </c>
      <c r="F22" s="700">
        <f>E22*C22</f>
        <v>15000</v>
      </c>
      <c r="G22" s="324"/>
    </row>
    <row r="23" spans="1:7" x14ac:dyDescent="0.25">
      <c r="A23" s="329"/>
      <c r="B23" s="329" t="s">
        <v>299</v>
      </c>
      <c r="C23" s="345">
        <v>1</v>
      </c>
      <c r="D23" s="344" t="s">
        <v>157</v>
      </c>
      <c r="E23" s="337">
        <v>10000</v>
      </c>
      <c r="F23" s="700">
        <f>E23*C23</f>
        <v>10000</v>
      </c>
      <c r="G23" s="324"/>
    </row>
    <row r="24" spans="1:7" x14ac:dyDescent="0.25">
      <c r="A24" s="329"/>
      <c r="B24" s="329"/>
      <c r="C24" s="345"/>
      <c r="D24" s="344"/>
      <c r="E24" s="337"/>
      <c r="F24" s="700"/>
      <c r="G24" s="324"/>
    </row>
    <row r="25" spans="1:7" x14ac:dyDescent="0.25">
      <c r="A25" s="348" t="s">
        <v>533</v>
      </c>
      <c r="B25" s="329" t="s">
        <v>304</v>
      </c>
      <c r="C25" s="345"/>
      <c r="D25" s="344"/>
      <c r="E25" s="677"/>
      <c r="F25" s="699"/>
      <c r="G25" s="324"/>
    </row>
    <row r="26" spans="1:7" ht="45" x14ac:dyDescent="0.25">
      <c r="A26" s="348" t="s">
        <v>534</v>
      </c>
      <c r="B26" s="332" t="s">
        <v>517</v>
      </c>
      <c r="C26" s="345"/>
      <c r="D26" s="344"/>
      <c r="E26" s="677"/>
      <c r="F26" s="699"/>
      <c r="G26" s="324"/>
    </row>
    <row r="27" spans="1:7" x14ac:dyDescent="0.25">
      <c r="A27" s="343"/>
      <c r="B27" s="329" t="s">
        <v>429</v>
      </c>
      <c r="C27" s="345">
        <v>1</v>
      </c>
      <c r="D27" s="344" t="s">
        <v>279</v>
      </c>
      <c r="E27" s="677">
        <v>300000</v>
      </c>
      <c r="F27" s="699">
        <f>E27*C27</f>
        <v>300000</v>
      </c>
      <c r="G27" s="324"/>
    </row>
    <row r="28" spans="1:7" x14ac:dyDescent="0.25">
      <c r="A28" s="343"/>
      <c r="B28" s="329" t="s">
        <v>535</v>
      </c>
      <c r="C28" s="345">
        <v>1</v>
      </c>
      <c r="D28" s="344" t="s">
        <v>279</v>
      </c>
      <c r="E28" s="677">
        <v>250000</v>
      </c>
      <c r="F28" s="699">
        <f>E28*C28</f>
        <v>250000</v>
      </c>
      <c r="G28" s="324"/>
    </row>
    <row r="29" spans="1:7" x14ac:dyDescent="0.25">
      <c r="A29" s="343"/>
      <c r="B29" s="329" t="s">
        <v>518</v>
      </c>
      <c r="C29" s="345">
        <v>3</v>
      </c>
      <c r="D29" s="344" t="s">
        <v>279</v>
      </c>
      <c r="E29" s="677">
        <v>200000</v>
      </c>
      <c r="F29" s="699">
        <f>E29*C29</f>
        <v>600000</v>
      </c>
      <c r="G29" s="324"/>
    </row>
    <row r="30" spans="1:7" x14ac:dyDescent="0.25">
      <c r="A30" s="343"/>
      <c r="B30" s="329"/>
      <c r="C30" s="345"/>
      <c r="D30" s="344"/>
      <c r="E30" s="677"/>
      <c r="F30" s="699"/>
      <c r="G30" s="324"/>
    </row>
    <row r="31" spans="1:7" ht="45" x14ac:dyDescent="0.25">
      <c r="A31" s="329" t="s">
        <v>536</v>
      </c>
      <c r="B31" s="332" t="s">
        <v>439</v>
      </c>
      <c r="C31" s="345"/>
      <c r="D31" s="344"/>
      <c r="E31" s="677"/>
      <c r="F31" s="699"/>
      <c r="G31" s="324"/>
    </row>
    <row r="32" spans="1:7" ht="30" x14ac:dyDescent="0.25">
      <c r="A32" s="343"/>
      <c r="B32" s="332" t="s">
        <v>2213</v>
      </c>
      <c r="C32" s="345">
        <v>4</v>
      </c>
      <c r="D32" s="344" t="s">
        <v>419</v>
      </c>
      <c r="E32" s="677">
        <v>300000</v>
      </c>
      <c r="F32" s="699">
        <f>E32*C32</f>
        <v>1200000</v>
      </c>
      <c r="G32" s="324"/>
    </row>
    <row r="33" spans="1:21" x14ac:dyDescent="0.25">
      <c r="A33" s="343"/>
      <c r="B33" s="329"/>
      <c r="C33" s="345"/>
      <c r="D33" s="344"/>
      <c r="E33" s="337"/>
      <c r="F33" s="699"/>
      <c r="G33" s="324"/>
    </row>
    <row r="34" spans="1:21" ht="45" x14ac:dyDescent="0.25">
      <c r="A34" s="348" t="s">
        <v>537</v>
      </c>
      <c r="B34" s="332" t="s">
        <v>519</v>
      </c>
      <c r="C34" s="345"/>
      <c r="D34" s="344"/>
      <c r="E34" s="337"/>
      <c r="F34" s="699"/>
      <c r="G34" s="324"/>
    </row>
    <row r="35" spans="1:21" ht="45" x14ac:dyDescent="0.25">
      <c r="A35" s="329" t="s">
        <v>538</v>
      </c>
      <c r="B35" s="332" t="s">
        <v>520</v>
      </c>
      <c r="C35" s="345"/>
      <c r="D35" s="344"/>
      <c r="E35" s="337"/>
      <c r="F35" s="699"/>
      <c r="G35" s="324"/>
    </row>
    <row r="36" spans="1:21" ht="30" x14ac:dyDescent="0.25">
      <c r="A36" s="343"/>
      <c r="B36" s="861" t="s">
        <v>2214</v>
      </c>
      <c r="C36" s="345">
        <v>2</v>
      </c>
      <c r="D36" s="344" t="s">
        <v>95</v>
      </c>
      <c r="E36" s="337">
        <v>850000</v>
      </c>
      <c r="F36" s="699">
        <f>E36*C36</f>
        <v>1700000</v>
      </c>
      <c r="G36" s="324"/>
    </row>
    <row r="37" spans="1:21" x14ac:dyDescent="0.25">
      <c r="A37" s="343"/>
      <c r="B37" s="329" t="s">
        <v>2215</v>
      </c>
      <c r="C37" s="345">
        <v>2</v>
      </c>
      <c r="D37" s="344" t="s">
        <v>95</v>
      </c>
      <c r="E37" s="337">
        <v>80000</v>
      </c>
      <c r="F37" s="699">
        <f>E37*C37</f>
        <v>160000</v>
      </c>
      <c r="G37" s="324"/>
    </row>
    <row r="38" spans="1:21" ht="45" x14ac:dyDescent="0.25">
      <c r="A38" s="343"/>
      <c r="B38" s="925" t="s">
        <v>2216</v>
      </c>
      <c r="C38" s="926">
        <v>4</v>
      </c>
      <c r="D38" s="927" t="s">
        <v>95</v>
      </c>
      <c r="E38" s="928">
        <v>350000</v>
      </c>
      <c r="F38" s="929">
        <f>E38*C38</f>
        <v>1400000</v>
      </c>
      <c r="G38" s="324"/>
    </row>
    <row r="39" spans="1:21" x14ac:dyDescent="0.25">
      <c r="A39" s="343"/>
      <c r="B39" s="925" t="s">
        <v>2217</v>
      </c>
      <c r="C39" s="926">
        <v>2</v>
      </c>
      <c r="D39" s="927" t="s">
        <v>95</v>
      </c>
      <c r="E39" s="928">
        <v>1500000</v>
      </c>
      <c r="F39" s="929">
        <f>E39*C39</f>
        <v>3000000</v>
      </c>
      <c r="G39" s="324"/>
    </row>
    <row r="40" spans="1:21" ht="30" x14ac:dyDescent="0.25">
      <c r="A40" s="343"/>
      <c r="B40" s="925" t="s">
        <v>2218</v>
      </c>
      <c r="C40" s="926"/>
      <c r="D40" s="927"/>
      <c r="E40" s="928"/>
      <c r="F40" s="929"/>
      <c r="G40" s="324"/>
    </row>
    <row r="41" spans="1:21" x14ac:dyDescent="0.25">
      <c r="A41" s="343"/>
      <c r="B41" s="925" t="s">
        <v>2219</v>
      </c>
      <c r="C41" s="926">
        <v>10</v>
      </c>
      <c r="D41" s="927" t="s">
        <v>95</v>
      </c>
      <c r="E41" s="928">
        <v>120000</v>
      </c>
      <c r="F41" s="929">
        <f t="shared" ref="F41:F46" si="1">E41*C41</f>
        <v>1200000</v>
      </c>
      <c r="G41" s="324"/>
    </row>
    <row r="42" spans="1:21" x14ac:dyDescent="0.25">
      <c r="A42" s="343"/>
      <c r="B42" s="925" t="s">
        <v>893</v>
      </c>
      <c r="C42" s="926">
        <v>4</v>
      </c>
      <c r="D42" s="927" t="s">
        <v>95</v>
      </c>
      <c r="E42" s="928">
        <v>142500</v>
      </c>
      <c r="F42" s="929">
        <f t="shared" si="1"/>
        <v>570000</v>
      </c>
      <c r="G42" s="324"/>
    </row>
    <row r="43" spans="1:21" x14ac:dyDescent="0.25">
      <c r="A43" s="343"/>
      <c r="B43" s="925" t="s">
        <v>2220</v>
      </c>
      <c r="C43" s="926">
        <v>1</v>
      </c>
      <c r="D43" s="927" t="s">
        <v>95</v>
      </c>
      <c r="E43" s="928">
        <v>3000000</v>
      </c>
      <c r="F43" s="929">
        <f t="shared" si="1"/>
        <v>3000000</v>
      </c>
      <c r="G43" s="324"/>
    </row>
    <row r="44" spans="1:21" x14ac:dyDescent="0.25">
      <c r="A44" s="343"/>
      <c r="B44" s="925" t="s">
        <v>2221</v>
      </c>
      <c r="C44" s="926">
        <v>2</v>
      </c>
      <c r="D44" s="927" t="s">
        <v>95</v>
      </c>
      <c r="E44" s="928">
        <v>130000</v>
      </c>
      <c r="F44" s="929">
        <f t="shared" si="1"/>
        <v>260000</v>
      </c>
      <c r="G44" s="324"/>
    </row>
    <row r="45" spans="1:21" x14ac:dyDescent="0.25">
      <c r="A45" s="343"/>
      <c r="B45" s="925" t="s">
        <v>2222</v>
      </c>
      <c r="C45" s="926">
        <v>10</v>
      </c>
      <c r="D45" s="927" t="s">
        <v>2223</v>
      </c>
      <c r="E45" s="928">
        <v>35000</v>
      </c>
      <c r="F45" s="929">
        <f t="shared" si="1"/>
        <v>350000</v>
      </c>
      <c r="G45" s="324"/>
    </row>
    <row r="46" spans="1:21" x14ac:dyDescent="0.25">
      <c r="A46" s="343"/>
      <c r="B46" s="925" t="s">
        <v>2224</v>
      </c>
      <c r="C46" s="926">
        <v>10</v>
      </c>
      <c r="D46" s="927" t="s">
        <v>989</v>
      </c>
      <c r="E46" s="928">
        <v>33600</v>
      </c>
      <c r="F46" s="929">
        <f t="shared" si="1"/>
        <v>336000</v>
      </c>
      <c r="G46" s="324"/>
    </row>
    <row r="47" spans="1:21" x14ac:dyDescent="0.25">
      <c r="A47" s="343"/>
      <c r="B47" s="930"/>
      <c r="C47" s="931"/>
      <c r="D47" s="932"/>
      <c r="E47" s="933"/>
      <c r="F47" s="929"/>
      <c r="G47" s="934"/>
    </row>
    <row r="48" spans="1:21" ht="30" x14ac:dyDescent="0.25">
      <c r="A48" s="701"/>
      <c r="B48" s="1980" t="s">
        <v>26</v>
      </c>
      <c r="C48" s="1980"/>
      <c r="D48" s="1980"/>
      <c r="E48" s="1980"/>
      <c r="F48" s="702">
        <f>SUM(F14:F47)</f>
        <v>14791000</v>
      </c>
      <c r="G48" s="1306" t="s">
        <v>2569</v>
      </c>
      <c r="L48" s="32"/>
      <c r="N48" s="32"/>
      <c r="U48" s="32">
        <f>F48</f>
        <v>14791000</v>
      </c>
    </row>
    <row r="49" spans="1:7" s="444" customFormat="1" ht="12" x14ac:dyDescent="0.2">
      <c r="A49" s="1762" t="s">
        <v>549</v>
      </c>
      <c r="B49" s="1762"/>
      <c r="C49" s="188" t="s">
        <v>27</v>
      </c>
      <c r="D49" s="1763" t="s">
        <v>1429</v>
      </c>
      <c r="E49" s="1763"/>
      <c r="F49" s="1763"/>
      <c r="G49" s="188"/>
    </row>
    <row r="50" spans="1:7" s="444" customFormat="1" ht="12" x14ac:dyDescent="0.2">
      <c r="A50" s="1762" t="s">
        <v>28</v>
      </c>
      <c r="B50" s="1762"/>
      <c r="C50" s="188"/>
      <c r="D50" s="1764" t="s">
        <v>2833</v>
      </c>
      <c r="E50" s="1764"/>
      <c r="F50" s="1764"/>
      <c r="G50" s="188"/>
    </row>
    <row r="51" spans="1:7" s="444" customFormat="1" ht="12" x14ac:dyDescent="0.2">
      <c r="A51" s="186"/>
      <c r="B51" s="187"/>
      <c r="C51" s="188"/>
      <c r="D51" s="189"/>
      <c r="E51" s="218"/>
      <c r="F51" s="218"/>
      <c r="G51" s="188"/>
    </row>
    <row r="52" spans="1:7" s="444" customFormat="1" ht="12" x14ac:dyDescent="0.2">
      <c r="A52" s="186"/>
      <c r="B52" s="187"/>
      <c r="C52" s="188"/>
      <c r="D52" s="189"/>
      <c r="E52" s="218"/>
      <c r="F52" s="218"/>
      <c r="G52" s="188"/>
    </row>
    <row r="53" spans="1:7" s="444" customFormat="1" ht="12" x14ac:dyDescent="0.2">
      <c r="A53" s="1762"/>
      <c r="B53" s="1762"/>
      <c r="C53" s="188"/>
      <c r="D53" s="189"/>
      <c r="E53" s="1762"/>
      <c r="F53" s="1762"/>
      <c r="G53" s="188"/>
    </row>
    <row r="54" spans="1:7" s="444" customFormat="1" ht="12" x14ac:dyDescent="0.2">
      <c r="A54" s="1762" t="s">
        <v>29</v>
      </c>
      <c r="B54" s="1762"/>
      <c r="C54" s="188"/>
      <c r="D54" s="1762" t="s">
        <v>2954</v>
      </c>
      <c r="E54" s="1762"/>
      <c r="F54" s="1762"/>
      <c r="G54" s="188"/>
    </row>
    <row r="55" spans="1:7" x14ac:dyDescent="0.25">
      <c r="A55" s="188"/>
      <c r="B55" s="935"/>
      <c r="C55" s="935"/>
      <c r="D55" s="935"/>
      <c r="E55" s="935"/>
      <c r="F55" s="228"/>
      <c r="G55" s="185"/>
    </row>
    <row r="57" spans="1:7" x14ac:dyDescent="0.25">
      <c r="A57" s="1937" t="s">
        <v>752</v>
      </c>
      <c r="B57" s="1937"/>
      <c r="C57" s="1937"/>
      <c r="D57" s="1937"/>
      <c r="E57" s="1937"/>
      <c r="F57" s="1937"/>
      <c r="G57" s="1937"/>
    </row>
    <row r="58" spans="1:7" x14ac:dyDescent="0.25">
      <c r="A58" s="1937" t="s">
        <v>1</v>
      </c>
      <c r="B58" s="1937"/>
      <c r="C58" s="1937"/>
      <c r="D58" s="1937"/>
      <c r="E58" s="1937"/>
      <c r="F58" s="1937"/>
      <c r="G58" s="1937"/>
    </row>
    <row r="59" spans="1:7" x14ac:dyDescent="0.25">
      <c r="A59" s="1937" t="s">
        <v>1769</v>
      </c>
      <c r="B59" s="1937"/>
      <c r="C59" s="1937"/>
      <c r="D59" s="1937"/>
      <c r="E59" s="1937"/>
      <c r="F59" s="1937"/>
      <c r="G59" s="1937"/>
    </row>
    <row r="60" spans="1:7" x14ac:dyDescent="0.25">
      <c r="A60" s="301"/>
      <c r="B60" s="301"/>
      <c r="C60" s="690"/>
      <c r="D60" s="690"/>
      <c r="E60" s="306"/>
      <c r="F60" s="301"/>
      <c r="G60" s="223"/>
    </row>
    <row r="61" spans="1:7" x14ac:dyDescent="0.25">
      <c r="A61" s="298" t="s">
        <v>491</v>
      </c>
      <c r="B61" s="298" t="s">
        <v>441</v>
      </c>
      <c r="C61" s="298"/>
      <c r="D61" s="298"/>
      <c r="E61" s="223"/>
      <c r="F61" s="223"/>
      <c r="G61" s="306"/>
    </row>
    <row r="62" spans="1:7" x14ac:dyDescent="0.25">
      <c r="A62" s="936" t="s">
        <v>492</v>
      </c>
      <c r="B62" s="827" t="s">
        <v>2210</v>
      </c>
      <c r="C62" s="298"/>
      <c r="D62" s="298"/>
      <c r="E62" s="303" t="s">
        <v>6</v>
      </c>
      <c r="F62" s="303"/>
      <c r="G62" s="298"/>
    </row>
    <row r="63" spans="1:7" ht="45" x14ac:dyDescent="0.25">
      <c r="A63" s="936" t="s">
        <v>493</v>
      </c>
      <c r="B63" s="827" t="s">
        <v>2361</v>
      </c>
      <c r="C63" s="298"/>
      <c r="D63" s="298"/>
      <c r="E63" s="773" t="s">
        <v>9</v>
      </c>
      <c r="F63" s="666"/>
      <c r="G63" s="298"/>
    </row>
    <row r="64" spans="1:7" ht="30" x14ac:dyDescent="0.25">
      <c r="A64" s="827" t="s">
        <v>422</v>
      </c>
      <c r="B64" s="936" t="s">
        <v>61</v>
      </c>
      <c r="C64" s="298"/>
      <c r="D64" s="298"/>
      <c r="E64" s="298"/>
      <c r="F64" s="298"/>
      <c r="G64" s="298"/>
    </row>
    <row r="65" spans="1:7" x14ac:dyDescent="0.25">
      <c r="A65" s="298" t="s">
        <v>62</v>
      </c>
      <c r="B65" s="298"/>
      <c r="C65" s="298"/>
      <c r="D65" s="844"/>
      <c r="E65" s="937"/>
      <c r="F65" s="298"/>
      <c r="G65" s="298"/>
    </row>
    <row r="66" spans="1:7" x14ac:dyDescent="0.25">
      <c r="A66" s="223"/>
      <c r="B66" s="223"/>
      <c r="C66" s="223"/>
      <c r="D66" s="223"/>
      <c r="E66" s="223"/>
      <c r="F66" s="223"/>
      <c r="G66" s="223"/>
    </row>
    <row r="67" spans="1:7" ht="30" x14ac:dyDescent="0.25">
      <c r="A67" s="938" t="s">
        <v>30</v>
      </c>
      <c r="B67" s="938" t="s">
        <v>11</v>
      </c>
      <c r="C67" s="2042" t="s">
        <v>12</v>
      </c>
      <c r="D67" s="2043"/>
      <c r="E67" s="939" t="s">
        <v>13</v>
      </c>
      <c r="F67" s="940" t="s">
        <v>14</v>
      </c>
      <c r="G67" s="941" t="s">
        <v>364</v>
      </c>
    </row>
    <row r="68" spans="1:7" x14ac:dyDescent="0.25">
      <c r="A68" s="942">
        <v>1</v>
      </c>
      <c r="B68" s="942">
        <v>2</v>
      </c>
      <c r="C68" s="2044">
        <v>3</v>
      </c>
      <c r="D68" s="2045"/>
      <c r="E68" s="943">
        <v>4</v>
      </c>
      <c r="F68" s="944">
        <v>5</v>
      </c>
      <c r="G68" s="941">
        <v>6</v>
      </c>
    </row>
    <row r="69" spans="1:7" ht="42.75" x14ac:dyDescent="0.25">
      <c r="A69" s="945"/>
      <c r="B69" s="946" t="s">
        <v>1715</v>
      </c>
      <c r="C69" s="944"/>
      <c r="D69" s="947"/>
      <c r="E69" s="948"/>
      <c r="F69" s="949"/>
      <c r="G69" s="942"/>
    </row>
    <row r="70" spans="1:7" x14ac:dyDescent="0.25">
      <c r="A70" s="950" t="s">
        <v>1716</v>
      </c>
      <c r="B70" s="951" t="s">
        <v>495</v>
      </c>
      <c r="C70" s="944"/>
      <c r="D70" s="947"/>
      <c r="E70" s="943"/>
      <c r="F70" s="944"/>
      <c r="G70" s="942"/>
    </row>
    <row r="71" spans="1:7" x14ac:dyDescent="0.25">
      <c r="A71" s="950" t="s">
        <v>1717</v>
      </c>
      <c r="B71" s="951" t="s">
        <v>86</v>
      </c>
      <c r="C71" s="944"/>
      <c r="D71" s="947"/>
      <c r="E71" s="943"/>
      <c r="F71" s="944"/>
      <c r="G71" s="942"/>
    </row>
    <row r="72" spans="1:7" ht="30" x14ac:dyDescent="0.25">
      <c r="A72" s="950" t="s">
        <v>1718</v>
      </c>
      <c r="B72" s="951" t="s">
        <v>317</v>
      </c>
      <c r="C72" s="942"/>
      <c r="D72" s="942"/>
      <c r="E72" s="948"/>
      <c r="F72" s="949"/>
      <c r="G72" s="942"/>
    </row>
    <row r="73" spans="1:7" ht="30" x14ac:dyDescent="0.25">
      <c r="A73" s="945"/>
      <c r="B73" s="951" t="s">
        <v>2225</v>
      </c>
      <c r="C73" s="942">
        <v>35</v>
      </c>
      <c r="D73" s="950" t="s">
        <v>507</v>
      </c>
      <c r="E73" s="948">
        <v>15000</v>
      </c>
      <c r="F73" s="949">
        <f>E73*C73</f>
        <v>525000</v>
      </c>
      <c r="G73" s="942"/>
    </row>
    <row r="74" spans="1:7" x14ac:dyDescent="0.25">
      <c r="A74" s="945"/>
      <c r="B74" s="945"/>
      <c r="C74" s="942"/>
      <c r="D74" s="950"/>
      <c r="E74" s="948"/>
      <c r="F74" s="949"/>
      <c r="G74" s="942"/>
    </row>
    <row r="75" spans="1:7" ht="30" x14ac:dyDescent="0.25">
      <c r="A75" s="950" t="s">
        <v>1719</v>
      </c>
      <c r="B75" s="951" t="s">
        <v>337</v>
      </c>
      <c r="C75" s="942"/>
      <c r="D75" s="950"/>
      <c r="E75" s="948"/>
      <c r="F75" s="949"/>
      <c r="G75" s="942"/>
    </row>
    <row r="76" spans="1:7" x14ac:dyDescent="0.25">
      <c r="A76" s="945"/>
      <c r="B76" s="951" t="s">
        <v>338</v>
      </c>
      <c r="C76" s="942">
        <v>1</v>
      </c>
      <c r="D76" s="950" t="s">
        <v>95</v>
      </c>
      <c r="E76" s="948">
        <v>90000</v>
      </c>
      <c r="F76" s="949">
        <f>E76*C76</f>
        <v>90000</v>
      </c>
      <c r="G76" s="942"/>
    </row>
    <row r="77" spans="1:7" x14ac:dyDescent="0.25">
      <c r="A77" s="945"/>
      <c r="B77" s="951"/>
      <c r="C77" s="942"/>
      <c r="D77" s="950"/>
      <c r="E77" s="948"/>
      <c r="F77" s="949"/>
      <c r="G77" s="942"/>
    </row>
    <row r="78" spans="1:7" x14ac:dyDescent="0.25">
      <c r="A78" s="950" t="s">
        <v>1720</v>
      </c>
      <c r="B78" s="951" t="s">
        <v>516</v>
      </c>
      <c r="C78" s="942"/>
      <c r="D78" s="950"/>
      <c r="E78" s="948"/>
      <c r="F78" s="949"/>
      <c r="G78" s="942"/>
    </row>
    <row r="79" spans="1:7" x14ac:dyDescent="0.25">
      <c r="A79" s="945"/>
      <c r="B79" s="951" t="s">
        <v>451</v>
      </c>
      <c r="C79" s="942">
        <v>1</v>
      </c>
      <c r="D79" s="950" t="s">
        <v>95</v>
      </c>
      <c r="E79" s="948">
        <v>50000</v>
      </c>
      <c r="F79" s="949">
        <f>E79*C79</f>
        <v>50000</v>
      </c>
      <c r="G79" s="942"/>
    </row>
    <row r="80" spans="1:7" x14ac:dyDescent="0.25">
      <c r="A80" s="945"/>
      <c r="B80" s="951" t="s">
        <v>285</v>
      </c>
      <c r="C80" s="942">
        <v>5</v>
      </c>
      <c r="D80" s="950" t="s">
        <v>647</v>
      </c>
      <c r="E80" s="948">
        <v>1000</v>
      </c>
      <c r="F80" s="949">
        <f>E80*C80</f>
        <v>5000</v>
      </c>
      <c r="G80" s="942"/>
    </row>
    <row r="81" spans="1:7" x14ac:dyDescent="0.25">
      <c r="A81" s="945"/>
      <c r="B81" s="951" t="s">
        <v>299</v>
      </c>
      <c r="C81" s="942">
        <v>1</v>
      </c>
      <c r="D81" s="950" t="s">
        <v>157</v>
      </c>
      <c r="E81" s="948">
        <v>10000</v>
      </c>
      <c r="F81" s="949">
        <f>E81*C81</f>
        <v>10000</v>
      </c>
      <c r="G81" s="942"/>
    </row>
    <row r="82" spans="1:7" x14ac:dyDescent="0.25">
      <c r="A82" s="945"/>
      <c r="B82" s="951"/>
      <c r="C82" s="942"/>
      <c r="D82" s="950"/>
      <c r="E82" s="948"/>
      <c r="F82" s="949"/>
      <c r="G82" s="942"/>
    </row>
    <row r="83" spans="1:7" x14ac:dyDescent="0.25">
      <c r="A83" s="945"/>
      <c r="B83" s="329" t="s">
        <v>304</v>
      </c>
      <c r="C83" s="942"/>
      <c r="D83" s="950"/>
      <c r="E83" s="948"/>
      <c r="F83" s="949"/>
      <c r="G83" s="942"/>
    </row>
    <row r="84" spans="1:7" ht="45" x14ac:dyDescent="0.25">
      <c r="A84" s="945"/>
      <c r="B84" s="332" t="s">
        <v>517</v>
      </c>
      <c r="C84" s="942"/>
      <c r="D84" s="950"/>
      <c r="E84" s="948"/>
      <c r="F84" s="949"/>
      <c r="G84" s="942"/>
    </row>
    <row r="85" spans="1:7" x14ac:dyDescent="0.25">
      <c r="A85" s="945"/>
      <c r="B85" s="329" t="s">
        <v>429</v>
      </c>
      <c r="C85" s="324">
        <v>1</v>
      </c>
      <c r="D85" s="864" t="s">
        <v>279</v>
      </c>
      <c r="E85" s="677">
        <v>300000</v>
      </c>
      <c r="F85" s="699">
        <f>E85*C85</f>
        <v>300000</v>
      </c>
      <c r="G85" s="942"/>
    </row>
    <row r="86" spans="1:7" x14ac:dyDescent="0.25">
      <c r="A86" s="945"/>
      <c r="B86" s="329" t="s">
        <v>535</v>
      </c>
      <c r="C86" s="324">
        <v>1</v>
      </c>
      <c r="D86" s="864" t="s">
        <v>279</v>
      </c>
      <c r="E86" s="677">
        <v>250000</v>
      </c>
      <c r="F86" s="699">
        <f>E86*C86</f>
        <v>250000</v>
      </c>
      <c r="G86" s="942"/>
    </row>
    <row r="87" spans="1:7" x14ac:dyDescent="0.25">
      <c r="A87" s="945"/>
      <c r="B87" s="329" t="s">
        <v>518</v>
      </c>
      <c r="C87" s="324">
        <v>3</v>
      </c>
      <c r="D87" s="864" t="s">
        <v>279</v>
      </c>
      <c r="E87" s="677">
        <v>200000</v>
      </c>
      <c r="F87" s="699">
        <f>E87*C87</f>
        <v>600000</v>
      </c>
      <c r="G87" s="942"/>
    </row>
    <row r="88" spans="1:7" x14ac:dyDescent="0.25">
      <c r="A88" s="945"/>
      <c r="B88" s="951"/>
      <c r="C88" s="942"/>
      <c r="D88" s="950"/>
      <c r="E88" s="948"/>
      <c r="F88" s="949"/>
      <c r="G88" s="942"/>
    </row>
    <row r="89" spans="1:7" ht="30" x14ac:dyDescent="0.25">
      <c r="A89" s="950" t="s">
        <v>1721</v>
      </c>
      <c r="B89" s="951" t="s">
        <v>2226</v>
      </c>
      <c r="C89" s="942">
        <v>2</v>
      </c>
      <c r="D89" s="950" t="s">
        <v>419</v>
      </c>
      <c r="E89" s="952">
        <v>300000</v>
      </c>
      <c r="F89" s="949">
        <v>600000</v>
      </c>
      <c r="G89" s="942"/>
    </row>
    <row r="90" spans="1:7" ht="45" x14ac:dyDescent="0.25">
      <c r="A90" s="950" t="s">
        <v>1723</v>
      </c>
      <c r="B90" s="951" t="s">
        <v>1724</v>
      </c>
      <c r="C90" s="942"/>
      <c r="D90" s="950"/>
      <c r="E90" s="948"/>
      <c r="F90" s="949"/>
      <c r="G90" s="942"/>
    </row>
    <row r="91" spans="1:7" ht="45" x14ac:dyDescent="0.25">
      <c r="A91" s="950" t="s">
        <v>1725</v>
      </c>
      <c r="B91" s="951" t="s">
        <v>520</v>
      </c>
      <c r="C91" s="942"/>
      <c r="D91" s="950"/>
      <c r="E91" s="948"/>
      <c r="F91" s="949"/>
      <c r="G91" s="942"/>
    </row>
    <row r="92" spans="1:7" x14ac:dyDescent="0.25">
      <c r="A92" s="945"/>
      <c r="B92" s="951" t="s">
        <v>2227</v>
      </c>
      <c r="C92" s="953">
        <v>2600</v>
      </c>
      <c r="D92" s="950" t="s">
        <v>115</v>
      </c>
      <c r="E92" s="954">
        <v>3000</v>
      </c>
      <c r="F92" s="949">
        <f>E92*C92</f>
        <v>7800000</v>
      </c>
      <c r="G92" s="955"/>
    </row>
    <row r="93" spans="1:7" x14ac:dyDescent="0.25">
      <c r="A93" s="945"/>
      <c r="B93" s="951" t="s">
        <v>2228</v>
      </c>
      <c r="C93" s="956">
        <v>130</v>
      </c>
      <c r="D93" s="950" t="s">
        <v>1494</v>
      </c>
      <c r="E93" s="948">
        <v>20000</v>
      </c>
      <c r="F93" s="949">
        <f t="shared" ref="F93:F99" si="2">E93*C93</f>
        <v>2600000</v>
      </c>
      <c r="G93" s="956"/>
    </row>
    <row r="94" spans="1:7" ht="30" x14ac:dyDescent="0.25">
      <c r="A94" s="957"/>
      <c r="B94" s="951" t="s">
        <v>2229</v>
      </c>
      <c r="C94" s="956">
        <v>130</v>
      </c>
      <c r="D94" s="950" t="s">
        <v>1726</v>
      </c>
      <c r="E94" s="948">
        <v>30000</v>
      </c>
      <c r="F94" s="949">
        <f t="shared" si="2"/>
        <v>3900000</v>
      </c>
      <c r="G94" s="956"/>
    </row>
    <row r="95" spans="1:7" ht="30" x14ac:dyDescent="0.25">
      <c r="A95" s="957"/>
      <c r="B95" s="951" t="s">
        <v>2230</v>
      </c>
      <c r="C95" s="956">
        <v>65</v>
      </c>
      <c r="D95" s="950" t="s">
        <v>1494</v>
      </c>
      <c r="E95" s="948">
        <v>25000</v>
      </c>
      <c r="F95" s="949">
        <f>C95*E95</f>
        <v>1625000</v>
      </c>
      <c r="G95" s="956"/>
    </row>
    <row r="96" spans="1:7" x14ac:dyDescent="0.25">
      <c r="A96" s="957"/>
      <c r="B96" s="951" t="s">
        <v>2231</v>
      </c>
      <c r="C96" s="956">
        <v>15</v>
      </c>
      <c r="D96" s="950" t="s">
        <v>1494</v>
      </c>
      <c r="E96" s="948">
        <v>20000</v>
      </c>
      <c r="F96" s="949">
        <f t="shared" si="2"/>
        <v>300000</v>
      </c>
      <c r="G96" s="956"/>
    </row>
    <row r="97" spans="1:12" ht="30" x14ac:dyDescent="0.25">
      <c r="A97" s="957"/>
      <c r="B97" s="951" t="s">
        <v>2232</v>
      </c>
      <c r="C97" s="956">
        <v>65</v>
      </c>
      <c r="D97" s="950" t="s">
        <v>1727</v>
      </c>
      <c r="E97" s="948">
        <v>100000</v>
      </c>
      <c r="F97" s="949">
        <f t="shared" si="2"/>
        <v>6500000</v>
      </c>
      <c r="G97" s="956"/>
    </row>
    <row r="98" spans="1:12" x14ac:dyDescent="0.25">
      <c r="A98" s="957"/>
      <c r="B98" s="951" t="s">
        <v>2233</v>
      </c>
      <c r="C98" s="956">
        <v>39</v>
      </c>
      <c r="D98" s="950" t="s">
        <v>1728</v>
      </c>
      <c r="E98" s="948">
        <v>50000</v>
      </c>
      <c r="F98" s="949">
        <f t="shared" si="2"/>
        <v>1950000</v>
      </c>
      <c r="G98" s="956"/>
    </row>
    <row r="99" spans="1:12" ht="30" x14ac:dyDescent="0.25">
      <c r="A99" s="957"/>
      <c r="B99" s="951" t="s">
        <v>2234</v>
      </c>
      <c r="C99" s="956">
        <v>39</v>
      </c>
      <c r="D99" s="950" t="s">
        <v>1728</v>
      </c>
      <c r="E99" s="948">
        <v>45000</v>
      </c>
      <c r="F99" s="949">
        <f t="shared" si="2"/>
        <v>1755000</v>
      </c>
      <c r="G99" s="956"/>
    </row>
    <row r="100" spans="1:12" x14ac:dyDescent="0.25">
      <c r="A100" s="957"/>
      <c r="B100" s="2042" t="s">
        <v>26</v>
      </c>
      <c r="C100" s="2046"/>
      <c r="D100" s="2046"/>
      <c r="E100" s="2043"/>
      <c r="F100" s="954">
        <f>SUM(F72:F99)</f>
        <v>28860000</v>
      </c>
      <c r="G100" s="958" t="s">
        <v>1711</v>
      </c>
      <c r="L100" s="32">
        <f>F100</f>
        <v>28860000</v>
      </c>
    </row>
    <row r="101" spans="1:12" s="444" customFormat="1" ht="12" x14ac:dyDescent="0.2">
      <c r="A101" s="1762" t="s">
        <v>549</v>
      </c>
      <c r="B101" s="1762"/>
      <c r="C101" s="188" t="s">
        <v>27</v>
      </c>
      <c r="D101" s="1763" t="s">
        <v>1429</v>
      </c>
      <c r="E101" s="1763"/>
      <c r="F101" s="1763"/>
      <c r="G101" s="188"/>
    </row>
    <row r="102" spans="1:12" s="444" customFormat="1" ht="12" x14ac:dyDescent="0.2">
      <c r="A102" s="1762" t="s">
        <v>28</v>
      </c>
      <c r="B102" s="1762"/>
      <c r="C102" s="188"/>
      <c r="D102" s="1764" t="s">
        <v>2833</v>
      </c>
      <c r="E102" s="1764"/>
      <c r="F102" s="1764"/>
      <c r="G102" s="188"/>
    </row>
    <row r="103" spans="1:12" s="444" customFormat="1" ht="12" x14ac:dyDescent="0.2">
      <c r="A103" s="186"/>
      <c r="B103" s="187"/>
      <c r="C103" s="188"/>
      <c r="D103" s="189"/>
      <c r="E103" s="218"/>
      <c r="F103" s="218"/>
      <c r="G103" s="188"/>
    </row>
    <row r="104" spans="1:12" s="444" customFormat="1" ht="12" x14ac:dyDescent="0.2">
      <c r="A104" s="186"/>
      <c r="B104" s="187"/>
      <c r="C104" s="188"/>
      <c r="D104" s="189"/>
      <c r="E104" s="218"/>
      <c r="F104" s="218"/>
      <c r="G104" s="188"/>
    </row>
    <row r="105" spans="1:12" s="444" customFormat="1" ht="12" x14ac:dyDescent="0.2">
      <c r="A105" s="1762"/>
      <c r="B105" s="1762"/>
      <c r="C105" s="188"/>
      <c r="D105" s="189"/>
      <c r="E105" s="1762"/>
      <c r="F105" s="1762"/>
      <c r="G105" s="188"/>
    </row>
    <row r="106" spans="1:12" s="444" customFormat="1" ht="12" x14ac:dyDescent="0.2">
      <c r="A106" s="1762" t="s">
        <v>29</v>
      </c>
      <c r="B106" s="1762"/>
      <c r="C106" s="188"/>
      <c r="D106" s="1762" t="s">
        <v>2954</v>
      </c>
      <c r="E106" s="1762"/>
      <c r="F106" s="1762"/>
      <c r="G106" s="188"/>
    </row>
    <row r="107" spans="1:12" x14ac:dyDescent="0.25">
      <c r="A107" s="693"/>
      <c r="B107" s="959"/>
      <c r="C107" s="959"/>
      <c r="D107" s="959"/>
      <c r="E107" s="959"/>
      <c r="F107" s="960"/>
      <c r="G107" s="936"/>
    </row>
    <row r="109" spans="1:12" x14ac:dyDescent="0.25">
      <c r="A109" s="2047" t="s">
        <v>0</v>
      </c>
      <c r="B109" s="2047"/>
      <c r="C109" s="2047"/>
      <c r="D109" s="2047"/>
      <c r="E109" s="2047"/>
      <c r="F109" s="2047"/>
      <c r="G109" s="2047"/>
    </row>
    <row r="110" spans="1:12" x14ac:dyDescent="0.25">
      <c r="A110" s="2047" t="s">
        <v>1</v>
      </c>
      <c r="B110" s="2047"/>
      <c r="C110" s="2047"/>
      <c r="D110" s="2047"/>
      <c r="E110" s="2047"/>
      <c r="F110" s="2047"/>
      <c r="G110" s="2047"/>
    </row>
    <row r="111" spans="1:12" x14ac:dyDescent="0.25">
      <c r="A111" s="2047" t="s">
        <v>1769</v>
      </c>
      <c r="B111" s="2047"/>
      <c r="C111" s="2047"/>
      <c r="D111" s="2047"/>
      <c r="E111" s="2047"/>
      <c r="F111" s="2047"/>
      <c r="G111" s="2047"/>
    </row>
    <row r="112" spans="1:12" x14ac:dyDescent="0.25">
      <c r="A112" s="1368"/>
      <c r="B112" s="1368"/>
      <c r="C112" s="1367"/>
      <c r="D112" s="1367"/>
      <c r="E112" s="1369"/>
      <c r="F112" s="1368"/>
      <c r="G112" s="1370"/>
    </row>
    <row r="113" spans="1:7" x14ac:dyDescent="0.25">
      <c r="A113" s="1371" t="s">
        <v>491</v>
      </c>
      <c r="B113" s="1371" t="s">
        <v>441</v>
      </c>
      <c r="C113" s="1371"/>
      <c r="D113" s="1371"/>
      <c r="E113" s="1370"/>
      <c r="F113" s="1370"/>
      <c r="G113" s="1369"/>
    </row>
    <row r="114" spans="1:7" x14ac:dyDescent="0.25">
      <c r="A114" s="1372" t="s">
        <v>492</v>
      </c>
      <c r="B114" s="1373" t="s">
        <v>1714</v>
      </c>
      <c r="C114" s="1371"/>
      <c r="D114" s="1371"/>
      <c r="E114" s="1374" t="s">
        <v>6</v>
      </c>
      <c r="F114" s="1374"/>
      <c r="G114" s="1371"/>
    </row>
    <row r="115" spans="1:7" x14ac:dyDescent="0.25">
      <c r="A115" s="1372" t="s">
        <v>493</v>
      </c>
      <c r="B115" s="1373" t="s">
        <v>2235</v>
      </c>
      <c r="C115" s="1371"/>
      <c r="D115" s="1371"/>
      <c r="E115" s="1375" t="s">
        <v>9</v>
      </c>
      <c r="F115" s="1376"/>
      <c r="G115" s="1371"/>
    </row>
    <row r="116" spans="1:7" ht="30" x14ac:dyDescent="0.25">
      <c r="A116" s="1377" t="s">
        <v>422</v>
      </c>
      <c r="B116" s="1371" t="s">
        <v>61</v>
      </c>
      <c r="C116" s="1371"/>
      <c r="D116" s="1371"/>
      <c r="E116" s="1371"/>
      <c r="F116" s="1371"/>
      <c r="G116" s="1371"/>
    </row>
    <row r="117" spans="1:7" x14ac:dyDescent="0.25">
      <c r="A117" s="1371" t="s">
        <v>62</v>
      </c>
      <c r="B117" s="1371"/>
      <c r="C117" s="1371"/>
      <c r="D117" s="1378"/>
      <c r="E117" s="1379"/>
      <c r="F117" s="1371"/>
      <c r="G117" s="1371"/>
    </row>
    <row r="118" spans="1:7" x14ac:dyDescent="0.25">
      <c r="A118" s="1370"/>
      <c r="B118" s="1370"/>
      <c r="C118" s="1370"/>
      <c r="D118" s="1370"/>
      <c r="E118" s="1370"/>
      <c r="F118" s="1370"/>
      <c r="G118" s="1370"/>
    </row>
    <row r="119" spans="1:7" ht="30" x14ac:dyDescent="0.25">
      <c r="A119" s="1380" t="s">
        <v>30</v>
      </c>
      <c r="B119" s="1380" t="s">
        <v>11</v>
      </c>
      <c r="C119" s="2055" t="s">
        <v>12</v>
      </c>
      <c r="D119" s="2056"/>
      <c r="E119" s="1382" t="s">
        <v>13</v>
      </c>
      <c r="F119" s="1381" t="s">
        <v>14</v>
      </c>
      <c r="G119" s="1383" t="s">
        <v>364</v>
      </c>
    </row>
    <row r="120" spans="1:7" x14ac:dyDescent="0.25">
      <c r="A120" s="1384">
        <v>1</v>
      </c>
      <c r="B120" s="1384">
        <v>2</v>
      </c>
      <c r="C120" s="2057">
        <v>3</v>
      </c>
      <c r="D120" s="2058"/>
      <c r="E120" s="1387">
        <v>4</v>
      </c>
      <c r="F120" s="1385">
        <v>5</v>
      </c>
      <c r="G120" s="1388">
        <v>6</v>
      </c>
    </row>
    <row r="121" spans="1:7" x14ac:dyDescent="0.25">
      <c r="A121" s="1389"/>
      <c r="B121" s="1390"/>
      <c r="C121" s="1391"/>
      <c r="D121" s="1392"/>
      <c r="E121" s="1393"/>
      <c r="F121" s="1394"/>
      <c r="G121" s="1395"/>
    </row>
    <row r="122" spans="1:7" x14ac:dyDescent="0.25">
      <c r="A122" s="1396" t="s">
        <v>1716</v>
      </c>
      <c r="B122" s="1397" t="s">
        <v>495</v>
      </c>
      <c r="C122" s="1385"/>
      <c r="D122" s="1386"/>
      <c r="E122" s="1387"/>
      <c r="F122" s="1385"/>
      <c r="G122" s="1384"/>
    </row>
    <row r="123" spans="1:7" x14ac:dyDescent="0.25">
      <c r="A123" s="1396" t="s">
        <v>1717</v>
      </c>
      <c r="B123" s="1397" t="s">
        <v>86</v>
      </c>
      <c r="C123" s="1385"/>
      <c r="D123" s="1386"/>
      <c r="E123" s="1387"/>
      <c r="F123" s="1385"/>
      <c r="G123" s="1384"/>
    </row>
    <row r="124" spans="1:7" ht="30" x14ac:dyDescent="0.25">
      <c r="A124" s="1396" t="s">
        <v>1718</v>
      </c>
      <c r="B124" s="1397" t="s">
        <v>317</v>
      </c>
      <c r="C124" s="1395"/>
      <c r="D124" s="1395"/>
      <c r="E124" s="1393"/>
      <c r="F124" s="1394"/>
      <c r="G124" s="1395"/>
    </row>
    <row r="125" spans="1:7" ht="30" x14ac:dyDescent="0.25">
      <c r="A125" s="1389"/>
      <c r="B125" s="1397" t="s">
        <v>2236</v>
      </c>
      <c r="C125" s="1398">
        <v>50</v>
      </c>
      <c r="D125" s="1399" t="s">
        <v>507</v>
      </c>
      <c r="E125" s="1400">
        <v>15000</v>
      </c>
      <c r="F125" s="1401">
        <f>E125*C125</f>
        <v>750000</v>
      </c>
      <c r="G125" s="1395"/>
    </row>
    <row r="126" spans="1:7" x14ac:dyDescent="0.25">
      <c r="A126" s="1389"/>
      <c r="B126" s="1389"/>
      <c r="C126" s="1402"/>
      <c r="D126" s="1403"/>
      <c r="E126" s="1393"/>
      <c r="F126" s="1394"/>
      <c r="G126" s="1395"/>
    </row>
    <row r="127" spans="1:7" ht="30" x14ac:dyDescent="0.25">
      <c r="A127" s="1396" t="s">
        <v>1719</v>
      </c>
      <c r="B127" s="1397" t="s">
        <v>337</v>
      </c>
      <c r="C127" s="1402"/>
      <c r="D127" s="1403"/>
      <c r="E127" s="1393"/>
      <c r="F127" s="1394"/>
      <c r="G127" s="1395"/>
    </row>
    <row r="128" spans="1:7" x14ac:dyDescent="0.25">
      <c r="A128" s="1389"/>
      <c r="B128" s="1397" t="s">
        <v>338</v>
      </c>
      <c r="C128" s="1402">
        <v>1</v>
      </c>
      <c r="D128" s="1403" t="s">
        <v>95</v>
      </c>
      <c r="E128" s="1393">
        <v>90000</v>
      </c>
      <c r="F128" s="1394">
        <f>E128*C128</f>
        <v>90000</v>
      </c>
      <c r="G128" s="1395"/>
    </row>
    <row r="129" spans="1:7" x14ac:dyDescent="0.25">
      <c r="A129" s="1389"/>
      <c r="B129" s="1397"/>
      <c r="C129" s="1402"/>
      <c r="D129" s="1403"/>
      <c r="E129" s="1393"/>
      <c r="F129" s="1394"/>
      <c r="G129" s="1395"/>
    </row>
    <row r="130" spans="1:7" x14ac:dyDescent="0.25">
      <c r="A130" s="1396" t="s">
        <v>1720</v>
      </c>
      <c r="B130" s="1397" t="s">
        <v>516</v>
      </c>
      <c r="C130" s="1402"/>
      <c r="D130" s="1403"/>
      <c r="E130" s="1393"/>
      <c r="F130" s="1394"/>
      <c r="G130" s="1395"/>
    </row>
    <row r="131" spans="1:7" x14ac:dyDescent="0.25">
      <c r="A131" s="1389"/>
      <c r="B131" s="1397" t="s">
        <v>451</v>
      </c>
      <c r="C131" s="1402">
        <v>1</v>
      </c>
      <c r="D131" s="1403" t="s">
        <v>95</v>
      </c>
      <c r="E131" s="1393">
        <v>50000</v>
      </c>
      <c r="F131" s="1394">
        <f>E131*C131</f>
        <v>50000</v>
      </c>
      <c r="G131" s="1395"/>
    </row>
    <row r="132" spans="1:7" x14ac:dyDescent="0.25">
      <c r="A132" s="1389"/>
      <c r="B132" s="1397" t="s">
        <v>285</v>
      </c>
      <c r="C132" s="1402">
        <v>5</v>
      </c>
      <c r="D132" s="1403" t="s">
        <v>647</v>
      </c>
      <c r="E132" s="1393">
        <v>1000</v>
      </c>
      <c r="F132" s="1394">
        <f>E132*C132</f>
        <v>5000</v>
      </c>
      <c r="G132" s="1395"/>
    </row>
    <row r="133" spans="1:7" x14ac:dyDescent="0.25">
      <c r="A133" s="1389"/>
      <c r="B133" s="1397" t="s">
        <v>299</v>
      </c>
      <c r="C133" s="1402">
        <v>1</v>
      </c>
      <c r="D133" s="1403" t="s">
        <v>157</v>
      </c>
      <c r="E133" s="1393">
        <v>10000</v>
      </c>
      <c r="F133" s="1394">
        <f>E133*C133</f>
        <v>10000</v>
      </c>
      <c r="G133" s="1395"/>
    </row>
    <row r="134" spans="1:7" x14ac:dyDescent="0.25">
      <c r="A134" s="1389"/>
      <c r="B134" s="1397"/>
      <c r="C134" s="1402"/>
      <c r="D134" s="1403"/>
      <c r="E134" s="1393"/>
      <c r="F134" s="1394"/>
      <c r="G134" s="1395"/>
    </row>
    <row r="135" spans="1:7" x14ac:dyDescent="0.25">
      <c r="A135" s="1404"/>
      <c r="B135" s="1389" t="s">
        <v>304</v>
      </c>
      <c r="C135" s="1398"/>
      <c r="D135" s="1399"/>
      <c r="E135" s="1400"/>
      <c r="F135" s="1401"/>
      <c r="G135" s="1405"/>
    </row>
    <row r="136" spans="1:7" ht="45" x14ac:dyDescent="0.25">
      <c r="A136" s="1404"/>
      <c r="B136" s="1397" t="s">
        <v>517</v>
      </c>
      <c r="C136" s="1398"/>
      <c r="D136" s="1399"/>
      <c r="E136" s="1400"/>
      <c r="F136" s="1401"/>
      <c r="G136" s="1405"/>
    </row>
    <row r="137" spans="1:7" x14ac:dyDescent="0.25">
      <c r="A137" s="1404"/>
      <c r="B137" s="1389" t="s">
        <v>429</v>
      </c>
      <c r="C137" s="1402">
        <v>1</v>
      </c>
      <c r="D137" s="1403" t="s">
        <v>279</v>
      </c>
      <c r="E137" s="1406">
        <v>300000</v>
      </c>
      <c r="F137" s="1407">
        <f>E137*C137</f>
        <v>300000</v>
      </c>
      <c r="G137" s="1405"/>
    </row>
    <row r="138" spans="1:7" x14ac:dyDescent="0.25">
      <c r="A138" s="1404"/>
      <c r="B138" s="1389" t="s">
        <v>535</v>
      </c>
      <c r="C138" s="1402">
        <v>1</v>
      </c>
      <c r="D138" s="1403" t="s">
        <v>279</v>
      </c>
      <c r="E138" s="1406">
        <v>250000</v>
      </c>
      <c r="F138" s="1407">
        <f>E138*C138</f>
        <v>250000</v>
      </c>
      <c r="G138" s="1405"/>
    </row>
    <row r="139" spans="1:7" x14ac:dyDescent="0.25">
      <c r="A139" s="1404"/>
      <c r="B139" s="1389" t="s">
        <v>518</v>
      </c>
      <c r="C139" s="1402">
        <v>3</v>
      </c>
      <c r="D139" s="1403" t="s">
        <v>279</v>
      </c>
      <c r="E139" s="1406">
        <v>200000</v>
      </c>
      <c r="F139" s="1407">
        <f>E139*C139</f>
        <v>600000</v>
      </c>
      <c r="G139" s="1405"/>
    </row>
    <row r="140" spans="1:7" x14ac:dyDescent="0.25">
      <c r="A140" s="1404"/>
      <c r="B140" s="1408"/>
      <c r="C140" s="1398"/>
      <c r="D140" s="1399"/>
      <c r="E140" s="1400"/>
      <c r="F140" s="1401"/>
      <c r="G140" s="1405"/>
    </row>
    <row r="141" spans="1:7" ht="30" x14ac:dyDescent="0.25">
      <c r="A141" s="1396" t="s">
        <v>1721</v>
      </c>
      <c r="B141" s="1397" t="s">
        <v>1722</v>
      </c>
      <c r="C141" s="1402"/>
      <c r="D141" s="1403"/>
      <c r="E141" s="1406"/>
      <c r="F141" s="1394"/>
      <c r="G141" s="1395"/>
    </row>
    <row r="142" spans="1:7" ht="30" x14ac:dyDescent="0.25">
      <c r="A142" s="1396"/>
      <c r="B142" s="1397" t="s">
        <v>2237</v>
      </c>
      <c r="C142" s="1402">
        <v>4</v>
      </c>
      <c r="D142" s="1403" t="s">
        <v>279</v>
      </c>
      <c r="E142" s="1406">
        <v>300000</v>
      </c>
      <c r="F142" s="1394">
        <f>E142*C142</f>
        <v>1200000</v>
      </c>
      <c r="G142" s="1395"/>
    </row>
    <row r="143" spans="1:7" x14ac:dyDescent="0.25">
      <c r="A143" s="1396"/>
      <c r="B143" s="1397"/>
      <c r="C143" s="1402"/>
      <c r="D143" s="1403"/>
      <c r="E143" s="1406"/>
      <c r="F143" s="1394"/>
      <c r="G143" s="1395"/>
    </row>
    <row r="144" spans="1:7" ht="45" x14ac:dyDescent="0.25">
      <c r="A144" s="1396" t="s">
        <v>1723</v>
      </c>
      <c r="B144" s="1397" t="s">
        <v>1724</v>
      </c>
      <c r="C144" s="1402"/>
      <c r="D144" s="1403"/>
      <c r="E144" s="1393"/>
      <c r="F144" s="1394"/>
      <c r="G144" s="1395"/>
    </row>
    <row r="145" spans="1:14" ht="45" x14ac:dyDescent="0.25">
      <c r="A145" s="1396" t="s">
        <v>1725</v>
      </c>
      <c r="B145" s="1397" t="s">
        <v>520</v>
      </c>
      <c r="C145" s="1402"/>
      <c r="D145" s="1403"/>
      <c r="E145" s="1393"/>
      <c r="F145" s="1394"/>
      <c r="G145" s="1395"/>
    </row>
    <row r="146" spans="1:14" x14ac:dyDescent="0.25">
      <c r="A146" s="1389"/>
      <c r="B146" s="1397" t="s">
        <v>2238</v>
      </c>
      <c r="C146" s="1409">
        <v>3</v>
      </c>
      <c r="D146" s="1403" t="s">
        <v>115</v>
      </c>
      <c r="E146" s="1410"/>
      <c r="F146" s="1394">
        <v>7000000</v>
      </c>
      <c r="G146" s="1411"/>
    </row>
    <row r="147" spans="1:14" x14ac:dyDescent="0.25">
      <c r="A147" s="1412"/>
      <c r="B147" s="1413"/>
      <c r="C147" s="1414"/>
      <c r="D147" s="1415"/>
      <c r="E147" s="1416"/>
      <c r="F147" s="1394"/>
      <c r="G147" s="1417"/>
    </row>
    <row r="148" spans="1:14" x14ac:dyDescent="0.25">
      <c r="A148" s="1412"/>
      <c r="B148" s="2059" t="s">
        <v>26</v>
      </c>
      <c r="C148" s="2060"/>
      <c r="D148" s="2060"/>
      <c r="E148" s="2061"/>
      <c r="F148" s="1410">
        <f>SUM(F124:F147)</f>
        <v>10255000</v>
      </c>
      <c r="G148" s="1418"/>
      <c r="L148" s="32"/>
      <c r="N148" s="32"/>
    </row>
    <row r="150" spans="1:14" x14ac:dyDescent="0.25">
      <c r="A150" s="1765" t="s">
        <v>0</v>
      </c>
      <c r="B150" s="1765"/>
      <c r="C150" s="1765"/>
      <c r="D150" s="1765"/>
      <c r="E150" s="1765"/>
      <c r="F150" s="1765"/>
      <c r="G150" s="1765"/>
    </row>
    <row r="151" spans="1:14" x14ac:dyDescent="0.25">
      <c r="A151" s="1765" t="s">
        <v>1</v>
      </c>
      <c r="B151" s="1765"/>
      <c r="C151" s="1765"/>
      <c r="D151" s="1765"/>
      <c r="E151" s="1765"/>
      <c r="F151" s="1765"/>
      <c r="G151" s="1765"/>
    </row>
    <row r="152" spans="1:14" x14ac:dyDescent="0.25">
      <c r="A152" s="1765" t="s">
        <v>1769</v>
      </c>
      <c r="B152" s="1765"/>
      <c r="C152" s="1765"/>
      <c r="D152" s="1765"/>
      <c r="E152" s="1765"/>
      <c r="F152" s="1765"/>
      <c r="G152" s="1765"/>
    </row>
    <row r="153" spans="1:14" x14ac:dyDescent="0.25">
      <c r="A153" s="184"/>
      <c r="B153" s="184"/>
      <c r="C153" s="184"/>
      <c r="D153" s="184"/>
      <c r="E153" s="184"/>
      <c r="F153" s="184"/>
      <c r="G153" s="184"/>
    </row>
    <row r="154" spans="1:14" x14ac:dyDescent="0.25">
      <c r="A154" s="724" t="s">
        <v>261</v>
      </c>
      <c r="B154" s="749" t="s">
        <v>441</v>
      </c>
      <c r="C154" s="724"/>
      <c r="D154" s="724"/>
      <c r="E154" s="725"/>
      <c r="F154" s="725"/>
    </row>
    <row r="155" spans="1:14" x14ac:dyDescent="0.25">
      <c r="A155" s="724" t="s">
        <v>262</v>
      </c>
      <c r="B155" s="749" t="s">
        <v>442</v>
      </c>
      <c r="C155" s="724"/>
      <c r="D155" s="724"/>
      <c r="E155" s="190" t="s">
        <v>6</v>
      </c>
      <c r="F155" s="190"/>
    </row>
    <row r="156" spans="1:14" ht="38.25" x14ac:dyDescent="0.25">
      <c r="A156" s="265" t="s">
        <v>263</v>
      </c>
      <c r="B156" s="875" t="s">
        <v>456</v>
      </c>
      <c r="C156" s="875"/>
      <c r="D156" s="726"/>
      <c r="E156" s="558" t="s">
        <v>9</v>
      </c>
      <c r="F156" s="558"/>
    </row>
    <row r="157" spans="1:14" x14ac:dyDescent="0.25">
      <c r="A157" s="724" t="s">
        <v>457</v>
      </c>
      <c r="B157" s="724" t="s">
        <v>61</v>
      </c>
      <c r="C157" s="724"/>
      <c r="D157" s="724"/>
      <c r="E157" s="724"/>
      <c r="F157" s="724"/>
    </row>
    <row r="158" spans="1:14" x14ac:dyDescent="0.25">
      <c r="A158" s="724" t="s">
        <v>62</v>
      </c>
      <c r="B158" s="724" t="s">
        <v>63</v>
      </c>
      <c r="C158" s="724"/>
      <c r="D158" s="883"/>
      <c r="E158" s="884"/>
      <c r="F158" s="724"/>
    </row>
    <row r="159" spans="1:14" x14ac:dyDescent="0.25">
      <c r="A159" s="187"/>
      <c r="B159" s="187"/>
      <c r="C159" s="187"/>
      <c r="D159" s="187"/>
      <c r="E159" s="187"/>
      <c r="F159" s="187"/>
    </row>
    <row r="160" spans="1:14" ht="24" x14ac:dyDescent="0.25">
      <c r="A160" s="198" t="s">
        <v>265</v>
      </c>
      <c r="B160" s="198" t="s">
        <v>11</v>
      </c>
      <c r="C160" s="1766" t="s">
        <v>12</v>
      </c>
      <c r="D160" s="1766"/>
      <c r="E160" s="267" t="s">
        <v>13</v>
      </c>
      <c r="F160" s="268" t="s">
        <v>14</v>
      </c>
      <c r="G160" s="34" t="s">
        <v>266</v>
      </c>
    </row>
    <row r="161" spans="1:7" x14ac:dyDescent="0.25">
      <c r="A161" s="198">
        <v>1</v>
      </c>
      <c r="B161" s="198">
        <v>2</v>
      </c>
      <c r="C161" s="1767">
        <v>3</v>
      </c>
      <c r="D161" s="1768"/>
      <c r="E161" s="269">
        <v>4</v>
      </c>
      <c r="F161" s="268">
        <v>5</v>
      </c>
      <c r="G161" s="35">
        <v>6</v>
      </c>
    </row>
    <row r="162" spans="1:7" x14ac:dyDescent="0.25">
      <c r="A162" s="212" t="s">
        <v>444</v>
      </c>
      <c r="B162" s="238" t="s">
        <v>314</v>
      </c>
      <c r="C162" s="214"/>
      <c r="D162" s="244"/>
      <c r="E162" s="230"/>
      <c r="F162" s="449"/>
      <c r="G162" s="1"/>
    </row>
    <row r="163" spans="1:7" x14ac:dyDescent="0.25">
      <c r="A163" s="212" t="s">
        <v>445</v>
      </c>
      <c r="B163" s="238" t="s">
        <v>86</v>
      </c>
      <c r="C163" s="214"/>
      <c r="D163" s="244"/>
      <c r="E163" s="230"/>
      <c r="F163" s="449"/>
      <c r="G163" s="1"/>
    </row>
    <row r="164" spans="1:7" ht="24.75" x14ac:dyDescent="0.25">
      <c r="A164" s="212" t="s">
        <v>446</v>
      </c>
      <c r="B164" s="213" t="s">
        <v>317</v>
      </c>
      <c r="C164" s="214"/>
      <c r="D164" s="244"/>
      <c r="E164" s="215"/>
      <c r="F164" s="449"/>
      <c r="G164" s="1"/>
    </row>
    <row r="165" spans="1:7" x14ac:dyDescent="0.25">
      <c r="A165" s="217"/>
      <c r="B165" s="213" t="s">
        <v>458</v>
      </c>
      <c r="C165" s="214">
        <v>32</v>
      </c>
      <c r="D165" s="244" t="s">
        <v>279</v>
      </c>
      <c r="E165" s="215">
        <v>15000</v>
      </c>
      <c r="F165" s="449">
        <f>E165*C165</f>
        <v>480000</v>
      </c>
      <c r="G165" s="1"/>
    </row>
    <row r="166" spans="1:7" x14ac:dyDescent="0.25">
      <c r="A166" s="217"/>
      <c r="B166" s="213"/>
      <c r="C166" s="214"/>
      <c r="D166" s="244"/>
      <c r="E166" s="215"/>
      <c r="F166" s="449"/>
      <c r="G166" s="1"/>
    </row>
    <row r="167" spans="1:7" ht="24.75" x14ac:dyDescent="0.25">
      <c r="A167" s="212" t="s">
        <v>459</v>
      </c>
      <c r="B167" s="213" t="s">
        <v>337</v>
      </c>
      <c r="C167" s="214"/>
      <c r="D167" s="244"/>
      <c r="E167" s="215"/>
      <c r="F167" s="449"/>
      <c r="G167" s="1"/>
    </row>
    <row r="168" spans="1:7" x14ac:dyDescent="0.25">
      <c r="A168" s="217"/>
      <c r="B168" s="213" t="s">
        <v>338</v>
      </c>
      <c r="C168" s="214">
        <v>1</v>
      </c>
      <c r="D168" s="244" t="s">
        <v>95</v>
      </c>
      <c r="E168" s="215">
        <v>90000</v>
      </c>
      <c r="F168" s="449">
        <f>E168*C168</f>
        <v>90000</v>
      </c>
      <c r="G168" s="1"/>
    </row>
    <row r="169" spans="1:7" x14ac:dyDescent="0.25">
      <c r="A169" s="217"/>
      <c r="B169" s="213"/>
      <c r="C169" s="214"/>
      <c r="D169" s="244"/>
      <c r="E169" s="215"/>
      <c r="F169" s="449"/>
      <c r="G169" s="1"/>
    </row>
    <row r="170" spans="1:7" x14ac:dyDescent="0.25">
      <c r="A170" s="212" t="s">
        <v>448</v>
      </c>
      <c r="B170" s="213" t="s">
        <v>450</v>
      </c>
      <c r="C170" s="214"/>
      <c r="D170" s="244"/>
      <c r="E170" s="215"/>
      <c r="F170" s="449"/>
      <c r="G170" s="1"/>
    </row>
    <row r="171" spans="1:7" x14ac:dyDescent="0.25">
      <c r="A171" s="217"/>
      <c r="B171" s="213" t="s">
        <v>451</v>
      </c>
      <c r="C171" s="214">
        <v>1</v>
      </c>
      <c r="D171" s="244" t="s">
        <v>95</v>
      </c>
      <c r="E171" s="215">
        <v>50000</v>
      </c>
      <c r="F171" s="449">
        <f>E171*C171</f>
        <v>50000</v>
      </c>
      <c r="G171" s="1"/>
    </row>
    <row r="172" spans="1:7" x14ac:dyDescent="0.25">
      <c r="A172" s="217"/>
      <c r="B172" s="213"/>
      <c r="C172" s="214"/>
      <c r="D172" s="244"/>
      <c r="E172" s="215"/>
      <c r="F172" s="449"/>
      <c r="G172" s="1"/>
    </row>
    <row r="173" spans="1:7" x14ac:dyDescent="0.25">
      <c r="A173" s="217" t="s">
        <v>452</v>
      </c>
      <c r="B173" s="213" t="s">
        <v>374</v>
      </c>
      <c r="C173" s="214"/>
      <c r="D173" s="244"/>
      <c r="E173" s="230"/>
      <c r="F173" s="449"/>
      <c r="G173" s="1"/>
    </row>
    <row r="174" spans="1:7" ht="24.75" x14ac:dyDescent="0.25">
      <c r="A174" s="217" t="s">
        <v>453</v>
      </c>
      <c r="B174" s="213" t="s">
        <v>439</v>
      </c>
      <c r="C174" s="214"/>
      <c r="D174" s="244"/>
      <c r="E174" s="230"/>
      <c r="F174" s="449"/>
      <c r="G174" s="1"/>
    </row>
    <row r="175" spans="1:7" x14ac:dyDescent="0.25">
      <c r="A175" s="217"/>
      <c r="B175" s="213" t="s">
        <v>454</v>
      </c>
      <c r="C175" s="214">
        <v>2</v>
      </c>
      <c r="D175" s="244" t="s">
        <v>419</v>
      </c>
      <c r="E175" s="230">
        <v>300000</v>
      </c>
      <c r="F175" s="449">
        <f>E175*C175</f>
        <v>600000</v>
      </c>
      <c r="G175" s="1"/>
    </row>
    <row r="176" spans="1:7" x14ac:dyDescent="0.25">
      <c r="A176" s="217"/>
      <c r="B176" s="217"/>
      <c r="C176" s="214"/>
      <c r="D176" s="244"/>
      <c r="E176" s="230"/>
      <c r="F176" s="449"/>
      <c r="G176" s="1"/>
    </row>
    <row r="177" spans="1:14" x14ac:dyDescent="0.25">
      <c r="A177" s="243"/>
      <c r="B177" s="1823" t="s">
        <v>26</v>
      </c>
      <c r="C177" s="1794"/>
      <c r="D177" s="1794"/>
      <c r="E177" s="1795"/>
      <c r="F177" s="368">
        <f>SUM(F164:F175)</f>
        <v>1220000</v>
      </c>
      <c r="G177" s="4" t="s">
        <v>1409</v>
      </c>
      <c r="M177" s="32">
        <f>F177</f>
        <v>1220000</v>
      </c>
      <c r="N177" s="32"/>
    </row>
    <row r="179" spans="1:14" x14ac:dyDescent="0.25">
      <c r="A179" s="1762" t="s">
        <v>549</v>
      </c>
      <c r="B179" s="1762"/>
      <c r="C179" s="188" t="s">
        <v>27</v>
      </c>
      <c r="D179" s="1763" t="s">
        <v>1426</v>
      </c>
      <c r="E179" s="1763"/>
      <c r="F179" s="1763"/>
      <c r="G179" s="188"/>
    </row>
    <row r="180" spans="1:14" x14ac:dyDescent="0.25">
      <c r="A180" s="1762" t="s">
        <v>28</v>
      </c>
      <c r="B180" s="1762"/>
      <c r="C180" s="188"/>
      <c r="D180" s="1764" t="s">
        <v>2831</v>
      </c>
      <c r="E180" s="1764"/>
      <c r="F180" s="1764"/>
      <c r="G180" s="188"/>
      <c r="H180" s="36"/>
    </row>
    <row r="181" spans="1:14" x14ac:dyDescent="0.25">
      <c r="A181" s="186"/>
      <c r="B181" s="187"/>
      <c r="C181" s="188"/>
      <c r="D181" s="189"/>
      <c r="E181" s="218"/>
      <c r="F181" s="218"/>
      <c r="G181" s="188"/>
    </row>
    <row r="182" spans="1:14" x14ac:dyDescent="0.25">
      <c r="A182" s="186"/>
      <c r="B182" s="187"/>
      <c r="C182" s="188"/>
      <c r="D182" s="189"/>
      <c r="E182" s="218"/>
      <c r="F182" s="218"/>
      <c r="G182" s="188"/>
    </row>
    <row r="183" spans="1:14" x14ac:dyDescent="0.25">
      <c r="A183" s="1762"/>
      <c r="B183" s="1762"/>
      <c r="C183" s="188"/>
      <c r="D183" s="189"/>
      <c r="E183" s="1762"/>
      <c r="F183" s="1762"/>
      <c r="G183" s="188"/>
    </row>
    <row r="184" spans="1:14" ht="14.25" customHeight="1" x14ac:dyDescent="0.25">
      <c r="A184" s="1762" t="s">
        <v>29</v>
      </c>
      <c r="B184" s="1762"/>
      <c r="C184" s="188"/>
      <c r="D184" s="1762" t="s">
        <v>2992</v>
      </c>
      <c r="E184" s="1762"/>
      <c r="F184" s="1762"/>
      <c r="G184" s="188"/>
    </row>
    <row r="187" spans="1:14" x14ac:dyDescent="0.25">
      <c r="A187" s="1765" t="s">
        <v>0</v>
      </c>
      <c r="B187" s="1765"/>
      <c r="C187" s="1765"/>
      <c r="D187" s="1765"/>
      <c r="E187" s="1765"/>
      <c r="F187" s="1765"/>
      <c r="G187" s="1765"/>
    </row>
    <row r="188" spans="1:14" x14ac:dyDescent="0.25">
      <c r="A188" s="1765" t="s">
        <v>1</v>
      </c>
      <c r="B188" s="1765"/>
      <c r="C188" s="1765"/>
      <c r="D188" s="1765"/>
      <c r="E188" s="1765"/>
      <c r="F188" s="1765"/>
      <c r="G188" s="1765"/>
    </row>
    <row r="189" spans="1:14" x14ac:dyDescent="0.25">
      <c r="A189" s="1765" t="s">
        <v>1769</v>
      </c>
      <c r="B189" s="1765"/>
      <c r="C189" s="1765"/>
      <c r="D189" s="1765"/>
      <c r="E189" s="1765"/>
      <c r="F189" s="1765"/>
      <c r="G189" s="1765"/>
    </row>
    <row r="190" spans="1:14" x14ac:dyDescent="0.25">
      <c r="A190" s="184"/>
      <c r="B190" s="184"/>
      <c r="C190" s="184"/>
      <c r="D190" s="184"/>
      <c r="E190" s="184"/>
      <c r="F190" s="184"/>
      <c r="G190" s="184"/>
    </row>
    <row r="191" spans="1:14" x14ac:dyDescent="0.25">
      <c r="A191" s="185" t="s">
        <v>491</v>
      </c>
      <c r="B191" s="185" t="s">
        <v>441</v>
      </c>
      <c r="C191" s="185"/>
      <c r="D191" s="185"/>
      <c r="E191" s="223"/>
      <c r="F191" s="223"/>
      <c r="G191" s="227"/>
    </row>
    <row r="192" spans="1:14" x14ac:dyDescent="0.25">
      <c r="A192" s="838" t="s">
        <v>492</v>
      </c>
      <c r="B192" s="218" t="s">
        <v>442</v>
      </c>
      <c r="C192" s="185"/>
      <c r="D192" s="185"/>
      <c r="E192" s="190" t="s">
        <v>6</v>
      </c>
      <c r="F192" s="190"/>
      <c r="G192" s="185"/>
    </row>
    <row r="193" spans="1:7" x14ac:dyDescent="0.25">
      <c r="A193" s="838" t="s">
        <v>493</v>
      </c>
      <c r="B193" s="530" t="s">
        <v>494</v>
      </c>
      <c r="C193" s="185"/>
      <c r="D193" s="185"/>
      <c r="E193" s="963" t="s">
        <v>9</v>
      </c>
      <c r="F193" s="558"/>
      <c r="G193" s="185"/>
    </row>
    <row r="194" spans="1:7" x14ac:dyDescent="0.25">
      <c r="A194" s="430" t="s">
        <v>422</v>
      </c>
      <c r="B194" s="185" t="s">
        <v>61</v>
      </c>
      <c r="C194" s="185"/>
      <c r="D194" s="185"/>
      <c r="E194" s="185"/>
      <c r="F194" s="185"/>
      <c r="G194" s="185"/>
    </row>
    <row r="195" spans="1:7" x14ac:dyDescent="0.25">
      <c r="A195" s="185" t="s">
        <v>62</v>
      </c>
      <c r="B195" s="185"/>
      <c r="C195" s="185"/>
      <c r="D195" s="385"/>
      <c r="E195" s="431"/>
      <c r="F195" s="185"/>
      <c r="G195" s="185"/>
    </row>
    <row r="196" spans="1:7" ht="24" x14ac:dyDescent="0.25">
      <c r="A196" s="198" t="s">
        <v>265</v>
      </c>
      <c r="B196" s="198" t="s">
        <v>11</v>
      </c>
      <c r="C196" s="1766" t="s">
        <v>12</v>
      </c>
      <c r="D196" s="1766"/>
      <c r="E196" s="267" t="s">
        <v>13</v>
      </c>
      <c r="F196" s="268" t="s">
        <v>14</v>
      </c>
      <c r="G196" s="34" t="s">
        <v>266</v>
      </c>
    </row>
    <row r="197" spans="1:7" x14ac:dyDescent="0.25">
      <c r="A197" s="198">
        <v>1</v>
      </c>
      <c r="B197" s="198">
        <v>2</v>
      </c>
      <c r="C197" s="1767">
        <v>3</v>
      </c>
      <c r="D197" s="1768"/>
      <c r="E197" s="269">
        <v>4</v>
      </c>
      <c r="F197" s="268">
        <v>5</v>
      </c>
      <c r="G197" s="35">
        <v>6</v>
      </c>
    </row>
    <row r="198" spans="1:7" x14ac:dyDescent="0.25">
      <c r="A198" s="212" t="s">
        <v>444</v>
      </c>
      <c r="B198" s="213" t="s">
        <v>495</v>
      </c>
      <c r="C198" s="419"/>
      <c r="D198" s="420"/>
      <c r="E198" s="491"/>
      <c r="F198" s="419"/>
      <c r="G198" s="200"/>
    </row>
    <row r="199" spans="1:7" x14ac:dyDescent="0.25">
      <c r="A199" s="212" t="s">
        <v>445</v>
      </c>
      <c r="B199" s="213" t="s">
        <v>86</v>
      </c>
      <c r="C199" s="419"/>
      <c r="D199" s="420"/>
      <c r="E199" s="491"/>
      <c r="F199" s="419"/>
      <c r="G199" s="200"/>
    </row>
    <row r="200" spans="1:7" ht="24.75" x14ac:dyDescent="0.25">
      <c r="A200" s="217" t="s">
        <v>446</v>
      </c>
      <c r="B200" s="213" t="s">
        <v>317</v>
      </c>
      <c r="C200" s="214"/>
      <c r="D200" s="244"/>
      <c r="E200" s="215"/>
      <c r="F200" s="889"/>
      <c r="G200" s="199"/>
    </row>
    <row r="201" spans="1:7" x14ac:dyDescent="0.25">
      <c r="A201" s="217"/>
      <c r="B201" s="213" t="s">
        <v>496</v>
      </c>
      <c r="C201" s="214">
        <f>28</f>
        <v>28</v>
      </c>
      <c r="D201" s="244" t="s">
        <v>279</v>
      </c>
      <c r="E201" s="215">
        <v>15000</v>
      </c>
      <c r="F201" s="889">
        <f>E201*C201</f>
        <v>420000</v>
      </c>
      <c r="G201" s="199"/>
    </row>
    <row r="202" spans="1:7" x14ac:dyDescent="0.25">
      <c r="A202" s="222"/>
      <c r="B202" s="217"/>
      <c r="C202" s="214"/>
      <c r="D202" s="244"/>
      <c r="E202" s="215"/>
      <c r="F202" s="889"/>
      <c r="G202" s="199"/>
    </row>
    <row r="203" spans="1:7" ht="24.75" x14ac:dyDescent="0.25">
      <c r="A203" s="217" t="s">
        <v>448</v>
      </c>
      <c r="B203" s="213" t="s">
        <v>337</v>
      </c>
      <c r="C203" s="214"/>
      <c r="D203" s="244"/>
      <c r="E203" s="215"/>
      <c r="F203" s="889"/>
      <c r="G203" s="199"/>
    </row>
    <row r="204" spans="1:7" x14ac:dyDescent="0.25">
      <c r="A204" s="222"/>
      <c r="B204" s="217" t="s">
        <v>338</v>
      </c>
      <c r="C204" s="214">
        <v>1</v>
      </c>
      <c r="D204" s="244" t="s">
        <v>95</v>
      </c>
      <c r="E204" s="215">
        <v>90000</v>
      </c>
      <c r="F204" s="889">
        <f>E204*C204</f>
        <v>90000</v>
      </c>
      <c r="G204" s="199"/>
    </row>
    <row r="205" spans="1:7" x14ac:dyDescent="0.25">
      <c r="A205" s="222"/>
      <c r="B205" s="217"/>
      <c r="C205" s="214"/>
      <c r="D205" s="244"/>
      <c r="E205" s="215"/>
      <c r="F205" s="889"/>
      <c r="G205" s="199"/>
    </row>
    <row r="206" spans="1:7" x14ac:dyDescent="0.25">
      <c r="A206" s="217" t="s">
        <v>452</v>
      </c>
      <c r="B206" s="217" t="s">
        <v>304</v>
      </c>
      <c r="C206" s="214"/>
      <c r="D206" s="244"/>
      <c r="E206" s="230"/>
      <c r="F206" s="889"/>
      <c r="G206" s="199"/>
    </row>
    <row r="207" spans="1:7" ht="24.75" x14ac:dyDescent="0.25">
      <c r="A207" s="217" t="s">
        <v>453</v>
      </c>
      <c r="B207" s="213" t="s">
        <v>439</v>
      </c>
      <c r="C207" s="214"/>
      <c r="D207" s="244"/>
      <c r="E207" s="230"/>
      <c r="F207" s="889"/>
      <c r="G207" s="199"/>
    </row>
    <row r="208" spans="1:7" ht="24.75" x14ac:dyDescent="0.25">
      <c r="A208" s="217"/>
      <c r="B208" s="213" t="s">
        <v>497</v>
      </c>
      <c r="C208" s="214">
        <v>2</v>
      </c>
      <c r="D208" s="244" t="s">
        <v>419</v>
      </c>
      <c r="E208" s="230">
        <v>300000</v>
      </c>
      <c r="F208" s="889">
        <f>E208*C208</f>
        <v>600000</v>
      </c>
      <c r="G208" s="199"/>
    </row>
    <row r="209" spans="1:14" x14ac:dyDescent="0.25">
      <c r="A209" s="217"/>
      <c r="B209" s="213"/>
      <c r="C209" s="214"/>
      <c r="D209" s="244"/>
      <c r="E209" s="230"/>
      <c r="F209" s="889"/>
      <c r="G209" s="199"/>
    </row>
    <row r="210" spans="1:14" x14ac:dyDescent="0.25">
      <c r="A210" s="222" t="s">
        <v>498</v>
      </c>
      <c r="B210" s="217" t="s">
        <v>471</v>
      </c>
      <c r="C210" s="214"/>
      <c r="D210" s="244"/>
      <c r="E210" s="230"/>
      <c r="F210" s="889"/>
      <c r="G210" s="199"/>
    </row>
    <row r="211" spans="1:14" x14ac:dyDescent="0.25">
      <c r="A211" s="222" t="s">
        <v>499</v>
      </c>
      <c r="B211" s="213" t="s">
        <v>2240</v>
      </c>
      <c r="C211" s="214"/>
      <c r="D211" s="244"/>
      <c r="E211" s="230"/>
      <c r="F211" s="889"/>
      <c r="G211" s="199"/>
    </row>
    <row r="212" spans="1:14" x14ac:dyDescent="0.25">
      <c r="A212" s="1503"/>
      <c r="B212" s="1356" t="s">
        <v>2366</v>
      </c>
      <c r="C212" s="1431">
        <v>28</v>
      </c>
      <c r="D212" s="1428" t="s">
        <v>473</v>
      </c>
      <c r="E212" s="1535">
        <v>3000000</v>
      </c>
      <c r="F212" s="1539">
        <f>E212*C212</f>
        <v>84000000</v>
      </c>
      <c r="G212" s="1501"/>
    </row>
    <row r="213" spans="1:14" x14ac:dyDescent="0.25">
      <c r="A213" s="222"/>
      <c r="B213" s="217"/>
      <c r="C213" s="214"/>
      <c r="D213" s="244"/>
      <c r="E213" s="230"/>
      <c r="F213" s="889"/>
      <c r="G213" s="1"/>
    </row>
    <row r="214" spans="1:14" x14ac:dyDescent="0.25">
      <c r="A214" s="217"/>
      <c r="B214" s="213"/>
      <c r="C214" s="214"/>
      <c r="D214" s="244"/>
      <c r="E214" s="230"/>
      <c r="F214" s="889"/>
      <c r="G214" s="1"/>
    </row>
    <row r="215" spans="1:14" x14ac:dyDescent="0.25">
      <c r="A215" s="222"/>
      <c r="B215" s="413"/>
      <c r="C215" s="964"/>
      <c r="D215" s="965"/>
      <c r="E215" s="966"/>
      <c r="F215" s="892"/>
      <c r="G215" s="1"/>
    </row>
    <row r="216" spans="1:14" x14ac:dyDescent="0.25">
      <c r="A216" s="433"/>
      <c r="B216" s="1841" t="s">
        <v>26</v>
      </c>
      <c r="C216" s="1841"/>
      <c r="D216" s="1841"/>
      <c r="E216" s="1841"/>
      <c r="F216" s="889">
        <f>SUM(F200:F215)</f>
        <v>85110000</v>
      </c>
      <c r="G216" s="1" t="s">
        <v>1845</v>
      </c>
      <c r="N216" s="32">
        <f>F216</f>
        <v>85110000</v>
      </c>
    </row>
    <row r="218" spans="1:14" x14ac:dyDescent="0.25">
      <c r="A218" s="1762" t="s">
        <v>549</v>
      </c>
      <c r="B218" s="1762"/>
      <c r="C218" s="188" t="s">
        <v>27</v>
      </c>
      <c r="D218" s="1763" t="s">
        <v>1426</v>
      </c>
      <c r="E218" s="1763"/>
      <c r="F218" s="1763"/>
      <c r="G218" s="188"/>
    </row>
    <row r="219" spans="1:14" x14ac:dyDescent="0.25">
      <c r="A219" s="1762" t="s">
        <v>28</v>
      </c>
      <c r="B219" s="1762"/>
      <c r="C219" s="188"/>
      <c r="D219" s="1764" t="s">
        <v>2832</v>
      </c>
      <c r="E219" s="1764"/>
      <c r="F219" s="1764"/>
      <c r="G219" s="188"/>
      <c r="H219" s="36"/>
    </row>
    <row r="220" spans="1:14" x14ac:dyDescent="0.25">
      <c r="A220" s="186"/>
      <c r="B220" s="187"/>
      <c r="C220" s="188"/>
      <c r="D220" s="189"/>
      <c r="E220" s="218"/>
      <c r="F220" s="218"/>
      <c r="G220" s="188"/>
    </row>
    <row r="221" spans="1:14" x14ac:dyDescent="0.25">
      <c r="A221" s="186"/>
      <c r="B221" s="187"/>
      <c r="C221" s="188"/>
      <c r="D221" s="189"/>
      <c r="E221" s="218"/>
      <c r="F221" s="218"/>
      <c r="G221" s="188"/>
    </row>
    <row r="222" spans="1:14" x14ac:dyDescent="0.25">
      <c r="A222" s="1762"/>
      <c r="B222" s="1762"/>
      <c r="C222" s="188"/>
      <c r="D222" s="189"/>
      <c r="E222" s="1762"/>
      <c r="F222" s="1762"/>
      <c r="G222" s="188"/>
    </row>
    <row r="223" spans="1:14" x14ac:dyDescent="0.25">
      <c r="A223" s="1762" t="s">
        <v>29</v>
      </c>
      <c r="B223" s="1762"/>
      <c r="C223" s="188"/>
      <c r="D223" s="1762" t="s">
        <v>2989</v>
      </c>
      <c r="E223" s="1762"/>
      <c r="F223" s="1762"/>
      <c r="G223" s="188"/>
    </row>
    <row r="224" spans="1:14" x14ac:dyDescent="0.25">
      <c r="A224" s="260"/>
      <c r="B224" s="260"/>
      <c r="C224" s="188"/>
      <c r="D224" s="260"/>
      <c r="E224" s="260"/>
      <c r="F224" s="260"/>
      <c r="G224" s="188"/>
    </row>
    <row r="225" spans="1:7" x14ac:dyDescent="0.25">
      <c r="A225" s="260"/>
      <c r="B225" s="260"/>
      <c r="C225" s="188"/>
      <c r="D225" s="260"/>
      <c r="E225" s="260"/>
      <c r="F225" s="260"/>
      <c r="G225" s="188"/>
    </row>
    <row r="226" spans="1:7" x14ac:dyDescent="0.25">
      <c r="A226" s="260"/>
      <c r="B226" s="260"/>
      <c r="C226" s="188"/>
      <c r="D226" s="260"/>
      <c r="E226" s="260"/>
      <c r="F226" s="260"/>
      <c r="G226" s="188"/>
    </row>
    <row r="227" spans="1:7" x14ac:dyDescent="0.25">
      <c r="A227" s="1765" t="s">
        <v>0</v>
      </c>
      <c r="B227" s="1765"/>
      <c r="C227" s="1765"/>
      <c r="D227" s="1765"/>
      <c r="E227" s="1765"/>
      <c r="F227" s="1765"/>
      <c r="G227" s="1765"/>
    </row>
    <row r="228" spans="1:7" x14ac:dyDescent="0.25">
      <c r="A228" s="1765" t="s">
        <v>1</v>
      </c>
      <c r="B228" s="1765"/>
      <c r="C228" s="1765"/>
      <c r="D228" s="1765"/>
      <c r="E228" s="1765"/>
      <c r="F228" s="1765"/>
      <c r="G228" s="1765"/>
    </row>
    <row r="229" spans="1:7" x14ac:dyDescent="0.25">
      <c r="A229" s="1765" t="s">
        <v>1769</v>
      </c>
      <c r="B229" s="1765"/>
      <c r="C229" s="1765"/>
      <c r="D229" s="1765"/>
      <c r="E229" s="1765"/>
      <c r="F229" s="1765"/>
      <c r="G229" s="1765"/>
    </row>
    <row r="230" spans="1:7" x14ac:dyDescent="0.25">
      <c r="A230" s="184"/>
      <c r="B230" s="184"/>
      <c r="C230" s="184"/>
      <c r="D230" s="184"/>
      <c r="E230" s="184"/>
      <c r="F230" s="184"/>
      <c r="G230" s="184"/>
    </row>
    <row r="231" spans="1:7" x14ac:dyDescent="0.25">
      <c r="A231" s="724" t="s">
        <v>261</v>
      </c>
      <c r="B231" s="749" t="s">
        <v>441</v>
      </c>
      <c r="C231" s="724"/>
      <c r="D231" s="185"/>
      <c r="E231" s="227"/>
      <c r="F231" s="227"/>
    </row>
    <row r="232" spans="1:7" x14ac:dyDescent="0.25">
      <c r="A232" s="724" t="s">
        <v>262</v>
      </c>
      <c r="B232" s="749" t="s">
        <v>442</v>
      </c>
      <c r="C232" s="724"/>
      <c r="D232" s="185"/>
      <c r="F232" s="190"/>
    </row>
    <row r="233" spans="1:7" x14ac:dyDescent="0.25">
      <c r="A233" s="875" t="s">
        <v>263</v>
      </c>
      <c r="B233" s="875" t="s">
        <v>460</v>
      </c>
      <c r="C233" s="875"/>
      <c r="D233" s="430"/>
      <c r="F233" s="558"/>
    </row>
    <row r="234" spans="1:7" x14ac:dyDescent="0.25">
      <c r="A234" s="185" t="s">
        <v>457</v>
      </c>
      <c r="B234" s="185" t="s">
        <v>61</v>
      </c>
      <c r="C234" s="185"/>
      <c r="D234" s="185"/>
      <c r="E234" s="185"/>
      <c r="F234" s="185"/>
    </row>
    <row r="235" spans="1:7" x14ac:dyDescent="0.25">
      <c r="A235" s="185" t="s">
        <v>62</v>
      </c>
      <c r="B235" s="185" t="s">
        <v>461</v>
      </c>
      <c r="C235" s="185"/>
      <c r="D235" s="385"/>
      <c r="E235" s="431"/>
      <c r="F235" s="185"/>
    </row>
    <row r="236" spans="1:7" ht="24" x14ac:dyDescent="0.25">
      <c r="A236" s="198" t="s">
        <v>455</v>
      </c>
      <c r="B236" s="198" t="s">
        <v>11</v>
      </c>
      <c r="C236" s="1766" t="s">
        <v>12</v>
      </c>
      <c r="D236" s="1766"/>
      <c r="E236" s="267" t="s">
        <v>13</v>
      </c>
      <c r="F236" s="198" t="s">
        <v>14</v>
      </c>
      <c r="G236" s="200" t="s">
        <v>266</v>
      </c>
    </row>
    <row r="237" spans="1:7" x14ac:dyDescent="0.25">
      <c r="A237" s="197">
        <v>1</v>
      </c>
      <c r="B237" s="197">
        <v>2</v>
      </c>
      <c r="C237" s="1773">
        <v>3</v>
      </c>
      <c r="D237" s="1774"/>
      <c r="E237" s="2">
        <v>4</v>
      </c>
      <c r="F237" s="205">
        <v>5</v>
      </c>
      <c r="G237" s="202">
        <v>6</v>
      </c>
    </row>
    <row r="238" spans="1:7" x14ac:dyDescent="0.25">
      <c r="A238" s="212" t="s">
        <v>462</v>
      </c>
      <c r="B238" s="212" t="s">
        <v>314</v>
      </c>
      <c r="C238" s="205"/>
      <c r="D238" s="206"/>
      <c r="E238" s="447"/>
      <c r="F238" s="205"/>
      <c r="G238" s="197"/>
    </row>
    <row r="239" spans="1:7" x14ac:dyDescent="0.25">
      <c r="A239" s="212" t="s">
        <v>463</v>
      </c>
      <c r="B239" s="212" t="s">
        <v>86</v>
      </c>
      <c r="C239" s="205"/>
      <c r="D239" s="206"/>
      <c r="E239" s="447"/>
      <c r="F239" s="205"/>
      <c r="G239" s="197"/>
    </row>
    <row r="240" spans="1:7" ht="24.75" x14ac:dyDescent="0.25">
      <c r="A240" s="217" t="s">
        <v>464</v>
      </c>
      <c r="B240" s="213" t="s">
        <v>317</v>
      </c>
      <c r="C240" s="214"/>
      <c r="D240" s="244"/>
      <c r="E240" s="215"/>
      <c r="F240" s="449"/>
      <c r="G240" s="199"/>
    </row>
    <row r="241" spans="1:7" x14ac:dyDescent="0.25">
      <c r="A241" s="217"/>
      <c r="B241" s="213" t="s">
        <v>465</v>
      </c>
      <c r="C241" s="214">
        <v>20</v>
      </c>
      <c r="D241" s="244" t="s">
        <v>279</v>
      </c>
      <c r="E241" s="215">
        <v>15000</v>
      </c>
      <c r="F241" s="449">
        <f>E241*C241</f>
        <v>300000</v>
      </c>
      <c r="G241" s="199"/>
    </row>
    <row r="242" spans="1:7" x14ac:dyDescent="0.25">
      <c r="A242" s="217"/>
      <c r="B242" s="213"/>
      <c r="C242" s="214"/>
      <c r="D242" s="244"/>
      <c r="E242" s="215"/>
      <c r="F242" s="449"/>
      <c r="G242" s="199"/>
    </row>
    <row r="243" spans="1:7" ht="24.75" x14ac:dyDescent="0.25">
      <c r="A243" s="217" t="s">
        <v>466</v>
      </c>
      <c r="B243" s="213" t="s">
        <v>337</v>
      </c>
      <c r="C243" s="214"/>
      <c r="D243" s="244"/>
      <c r="E243" s="215"/>
      <c r="F243" s="449"/>
      <c r="G243" s="199"/>
    </row>
    <row r="244" spans="1:7" x14ac:dyDescent="0.25">
      <c r="A244" s="217"/>
      <c r="B244" s="213" t="s">
        <v>338</v>
      </c>
      <c r="C244" s="214">
        <v>1</v>
      </c>
      <c r="D244" s="244" t="s">
        <v>95</v>
      </c>
      <c r="E244" s="215">
        <v>90000</v>
      </c>
      <c r="F244" s="449">
        <f>E244*C244</f>
        <v>90000</v>
      </c>
      <c r="G244" s="199"/>
    </row>
    <row r="245" spans="1:7" x14ac:dyDescent="0.25">
      <c r="A245" s="217"/>
      <c r="B245" s="213"/>
      <c r="C245" s="214"/>
      <c r="D245" s="244"/>
      <c r="E245" s="215"/>
      <c r="F245" s="449"/>
      <c r="G245" s="199"/>
    </row>
    <row r="246" spans="1:7" x14ac:dyDescent="0.25">
      <c r="A246" s="217" t="s">
        <v>1183</v>
      </c>
      <c r="B246" s="213" t="s">
        <v>450</v>
      </c>
      <c r="C246" s="214"/>
      <c r="D246" s="244"/>
      <c r="E246" s="215"/>
      <c r="F246" s="449"/>
      <c r="G246" s="199"/>
    </row>
    <row r="247" spans="1:7" x14ac:dyDescent="0.25">
      <c r="A247" s="217"/>
      <c r="B247" s="213" t="s">
        <v>451</v>
      </c>
      <c r="C247" s="214">
        <v>2</v>
      </c>
      <c r="D247" s="244" t="s">
        <v>95</v>
      </c>
      <c r="E247" s="215">
        <v>50000</v>
      </c>
      <c r="F247" s="449">
        <f>E247*C247</f>
        <v>100000</v>
      </c>
      <c r="G247" s="199"/>
    </row>
    <row r="248" spans="1:7" x14ac:dyDescent="0.25">
      <c r="A248" s="217"/>
      <c r="B248" s="213" t="s">
        <v>285</v>
      </c>
      <c r="C248" s="214">
        <v>10</v>
      </c>
      <c r="D248" s="244" t="s">
        <v>165</v>
      </c>
      <c r="E248" s="215">
        <v>1000</v>
      </c>
      <c r="F248" s="449">
        <f>E248*C248</f>
        <v>10000</v>
      </c>
      <c r="G248" s="199"/>
    </row>
    <row r="249" spans="1:7" x14ac:dyDescent="0.25">
      <c r="A249" s="217"/>
      <c r="B249" s="213" t="s">
        <v>299</v>
      </c>
      <c r="C249" s="214">
        <v>2</v>
      </c>
      <c r="D249" s="244" t="s">
        <v>300</v>
      </c>
      <c r="E249" s="215">
        <v>10000</v>
      </c>
      <c r="F249" s="449">
        <f>E249*C249</f>
        <v>20000</v>
      </c>
      <c r="G249" s="199"/>
    </row>
    <row r="250" spans="1:7" x14ac:dyDescent="0.25">
      <c r="A250" s="217"/>
      <c r="B250" s="213"/>
      <c r="C250" s="214"/>
      <c r="D250" s="244"/>
      <c r="E250" s="215"/>
      <c r="F250" s="449"/>
      <c r="G250" s="199"/>
    </row>
    <row r="251" spans="1:7" x14ac:dyDescent="0.25">
      <c r="A251" s="217" t="s">
        <v>467</v>
      </c>
      <c r="B251" s="213" t="s">
        <v>374</v>
      </c>
      <c r="C251" s="214"/>
      <c r="D251" s="244"/>
      <c r="E251" s="230"/>
      <c r="F251" s="449"/>
      <c r="G251" s="199"/>
    </row>
    <row r="252" spans="1:7" ht="24.75" x14ac:dyDescent="0.25">
      <c r="A252" s="217" t="s">
        <v>468</v>
      </c>
      <c r="B252" s="213" t="s">
        <v>439</v>
      </c>
      <c r="C252" s="214"/>
      <c r="D252" s="244"/>
      <c r="E252" s="230"/>
      <c r="F252" s="449"/>
      <c r="G252" s="199"/>
    </row>
    <row r="253" spans="1:7" x14ac:dyDescent="0.25">
      <c r="A253" s="217"/>
      <c r="B253" s="213" t="s">
        <v>469</v>
      </c>
      <c r="C253" s="214">
        <v>2</v>
      </c>
      <c r="D253" s="244" t="s">
        <v>419</v>
      </c>
      <c r="E253" s="230">
        <v>300000</v>
      </c>
      <c r="F253" s="449">
        <f>E253*C253</f>
        <v>600000</v>
      </c>
      <c r="G253" s="199"/>
    </row>
    <row r="254" spans="1:7" x14ac:dyDescent="0.25">
      <c r="A254" s="222" t="s">
        <v>470</v>
      </c>
      <c r="B254" s="213" t="s">
        <v>471</v>
      </c>
      <c r="C254" s="214"/>
      <c r="D254" s="244"/>
      <c r="E254" s="230"/>
      <c r="F254" s="449"/>
      <c r="G254" s="199"/>
    </row>
    <row r="255" spans="1:7" x14ac:dyDescent="0.25">
      <c r="A255" s="222" t="s">
        <v>472</v>
      </c>
      <c r="B255" s="213" t="s">
        <v>2717</v>
      </c>
      <c r="C255" s="214"/>
      <c r="D255" s="244"/>
      <c r="E255" s="230"/>
      <c r="F255" s="449"/>
      <c r="G255" s="199"/>
    </row>
    <row r="256" spans="1:7" x14ac:dyDescent="0.25">
      <c r="A256" s="1503"/>
      <c r="B256" s="1356" t="s">
        <v>2365</v>
      </c>
      <c r="C256" s="1431">
        <v>12</v>
      </c>
      <c r="D256" s="1428" t="s">
        <v>473</v>
      </c>
      <c r="E256" s="1535">
        <v>3000000</v>
      </c>
      <c r="F256" s="1506">
        <f>E256*C256</f>
        <v>36000000</v>
      </c>
      <c r="G256" s="1501"/>
    </row>
    <row r="257" spans="1:14" x14ac:dyDescent="0.25">
      <c r="A257" s="217"/>
      <c r="B257" s="213"/>
      <c r="C257" s="214"/>
      <c r="D257" s="244"/>
      <c r="E257" s="230"/>
      <c r="F257" s="449"/>
      <c r="G257" s="1"/>
    </row>
    <row r="258" spans="1:14" x14ac:dyDescent="0.25">
      <c r="A258" s="217"/>
      <c r="B258" s="213"/>
      <c r="C258" s="214"/>
      <c r="D258" s="244"/>
      <c r="E258" s="230"/>
      <c r="F258" s="368"/>
      <c r="G258" s="1"/>
    </row>
    <row r="259" spans="1:14" x14ac:dyDescent="0.25">
      <c r="A259" s="217"/>
      <c r="B259" s="1823" t="s">
        <v>26</v>
      </c>
      <c r="C259" s="1794"/>
      <c r="D259" s="1794"/>
      <c r="E259" s="1795"/>
      <c r="F259" s="368">
        <f>SUM(F240:F258)</f>
        <v>37120000</v>
      </c>
      <c r="G259" s="1" t="s">
        <v>1845</v>
      </c>
      <c r="N259" s="32">
        <f>F259</f>
        <v>37120000</v>
      </c>
    </row>
    <row r="260" spans="1:14" x14ac:dyDescent="0.25">
      <c r="A260" s="1762" t="s">
        <v>549</v>
      </c>
      <c r="B260" s="1762"/>
      <c r="C260" s="188" t="s">
        <v>27</v>
      </c>
      <c r="D260" s="1763" t="s">
        <v>1426</v>
      </c>
      <c r="E260" s="1763"/>
      <c r="F260" s="1763"/>
      <c r="G260" s="188"/>
    </row>
    <row r="261" spans="1:14" x14ac:dyDescent="0.25">
      <c r="A261" s="1762" t="s">
        <v>28</v>
      </c>
      <c r="B261" s="1762"/>
      <c r="C261" s="188"/>
      <c r="D261" s="1764" t="s">
        <v>2832</v>
      </c>
      <c r="E261" s="1764"/>
      <c r="F261" s="1764"/>
      <c r="G261" s="188"/>
      <c r="H261" s="36"/>
    </row>
    <row r="262" spans="1:14" x14ac:dyDescent="0.25">
      <c r="A262" s="186"/>
      <c r="B262" s="187"/>
      <c r="C262" s="188"/>
      <c r="D262" s="189"/>
      <c r="E262" s="218"/>
      <c r="F262" s="218"/>
      <c r="G262" s="188"/>
    </row>
    <row r="263" spans="1:14" x14ac:dyDescent="0.25">
      <c r="A263" s="186"/>
      <c r="B263" s="187"/>
      <c r="C263" s="188"/>
      <c r="D263" s="189"/>
      <c r="E263" s="218"/>
      <c r="F263" s="218"/>
      <c r="G263" s="188"/>
    </row>
    <row r="264" spans="1:14" x14ac:dyDescent="0.25">
      <c r="A264" s="1762"/>
      <c r="B264" s="1762"/>
      <c r="C264" s="188"/>
      <c r="D264" s="189"/>
      <c r="E264" s="1762"/>
      <c r="F264" s="1762"/>
      <c r="G264" s="188"/>
    </row>
    <row r="265" spans="1:14" x14ac:dyDescent="0.25">
      <c r="A265" s="1762" t="s">
        <v>29</v>
      </c>
      <c r="B265" s="1762"/>
      <c r="C265" s="188"/>
      <c r="D265" s="1762" t="s">
        <v>2989</v>
      </c>
      <c r="E265" s="1762"/>
      <c r="F265" s="1762"/>
      <c r="G265" s="188"/>
    </row>
    <row r="267" spans="1:14" x14ac:dyDescent="0.25">
      <c r="A267" s="1765" t="s">
        <v>0</v>
      </c>
      <c r="B267" s="1765"/>
      <c r="C267" s="1765"/>
      <c r="D267" s="1765"/>
      <c r="E267" s="1765"/>
      <c r="F267" s="1765"/>
      <c r="G267" s="184"/>
    </row>
    <row r="268" spans="1:14" x14ac:dyDescent="0.25">
      <c r="A268" s="1765" t="s">
        <v>1</v>
      </c>
      <c r="B268" s="1765"/>
      <c r="C268" s="1765"/>
      <c r="D268" s="1765"/>
      <c r="E268" s="1765"/>
      <c r="F268" s="1765"/>
      <c r="G268" s="184"/>
    </row>
    <row r="269" spans="1:14" x14ac:dyDescent="0.25">
      <c r="A269" s="1765" t="s">
        <v>1769</v>
      </c>
      <c r="B269" s="1765"/>
      <c r="C269" s="1765"/>
      <c r="D269" s="1765"/>
      <c r="E269" s="1765"/>
      <c r="F269" s="1765"/>
      <c r="G269" s="184"/>
    </row>
    <row r="270" spans="1:14" x14ac:dyDescent="0.25">
      <c r="A270" s="184"/>
      <c r="B270" s="184"/>
      <c r="C270" s="184"/>
      <c r="D270" s="184"/>
      <c r="E270" s="184"/>
      <c r="F270" s="184"/>
      <c r="G270" s="184"/>
    </row>
    <row r="271" spans="1:14" x14ac:dyDescent="0.25">
      <c r="A271" s="263" t="s">
        <v>261</v>
      </c>
      <c r="B271" s="224" t="s">
        <v>441</v>
      </c>
      <c r="C271" s="263"/>
      <c r="D271" s="263"/>
      <c r="E271" s="190"/>
      <c r="F271" s="190"/>
    </row>
    <row r="272" spans="1:14" x14ac:dyDescent="0.25">
      <c r="A272" s="263" t="s">
        <v>262</v>
      </c>
      <c r="B272" s="224" t="s">
        <v>442</v>
      </c>
      <c r="C272" s="263"/>
      <c r="D272" s="263"/>
      <c r="E272" s="558"/>
      <c r="F272" s="190" t="s">
        <v>6</v>
      </c>
    </row>
    <row r="273" spans="1:7" ht="25.5" x14ac:dyDescent="0.25">
      <c r="A273" s="265" t="s">
        <v>263</v>
      </c>
      <c r="B273" s="265" t="s">
        <v>443</v>
      </c>
      <c r="C273" s="265"/>
      <c r="D273" s="265"/>
      <c r="E273" s="265"/>
      <c r="F273" s="558" t="s">
        <v>9</v>
      </c>
    </row>
    <row r="274" spans="1:7" x14ac:dyDescent="0.25">
      <c r="A274" s="226" t="s">
        <v>60</v>
      </c>
      <c r="B274" s="226" t="s">
        <v>61</v>
      </c>
      <c r="C274" s="226"/>
      <c r="D274" s="188"/>
      <c r="E274" s="188"/>
      <c r="F274" s="188"/>
    </row>
    <row r="275" spans="1:7" x14ac:dyDescent="0.25">
      <c r="A275" s="226" t="s">
        <v>62</v>
      </c>
      <c r="B275" s="226" t="s">
        <v>63</v>
      </c>
      <c r="C275" s="226"/>
      <c r="D275" s="1763"/>
      <c r="E275" s="1763"/>
      <c r="F275" s="188"/>
    </row>
    <row r="276" spans="1:7" x14ac:dyDescent="0.25">
      <c r="A276" s="187"/>
      <c r="B276" s="187"/>
      <c r="C276" s="187"/>
      <c r="D276" s="187"/>
      <c r="E276" s="187"/>
      <c r="F276" s="187"/>
    </row>
    <row r="277" spans="1:7" ht="24" x14ac:dyDescent="0.25">
      <c r="A277" s="198" t="s">
        <v>455</v>
      </c>
      <c r="B277" s="198" t="s">
        <v>11</v>
      </c>
      <c r="C277" s="1766" t="s">
        <v>12</v>
      </c>
      <c r="D277" s="1766"/>
      <c r="E277" s="267" t="s">
        <v>13</v>
      </c>
      <c r="F277" s="198" t="s">
        <v>14</v>
      </c>
      <c r="G277" s="200" t="s">
        <v>266</v>
      </c>
    </row>
    <row r="278" spans="1:7" x14ac:dyDescent="0.25">
      <c r="A278" s="197">
        <v>1</v>
      </c>
      <c r="B278" s="197">
        <v>2</v>
      </c>
      <c r="C278" s="1773">
        <v>3</v>
      </c>
      <c r="D278" s="1774"/>
      <c r="E278" s="2">
        <v>4</v>
      </c>
      <c r="F278" s="205">
        <v>5</v>
      </c>
      <c r="G278" s="202">
        <v>6</v>
      </c>
    </row>
    <row r="279" spans="1:7" x14ac:dyDescent="0.25">
      <c r="A279" s="212" t="s">
        <v>444</v>
      </c>
      <c r="B279" s="238" t="s">
        <v>314</v>
      </c>
      <c r="C279" s="205"/>
      <c r="D279" s="206"/>
      <c r="E279" s="447"/>
      <c r="F279" s="205"/>
      <c r="G279" s="222"/>
    </row>
    <row r="280" spans="1:7" x14ac:dyDescent="0.25">
      <c r="A280" s="212" t="s">
        <v>445</v>
      </c>
      <c r="B280" s="238" t="s">
        <v>86</v>
      </c>
      <c r="C280" s="205"/>
      <c r="D280" s="206"/>
      <c r="E280" s="447"/>
      <c r="F280" s="205"/>
      <c r="G280" s="222"/>
    </row>
    <row r="281" spans="1:7" ht="24.75" x14ac:dyDescent="0.25">
      <c r="A281" s="217" t="s">
        <v>446</v>
      </c>
      <c r="B281" s="213" t="s">
        <v>317</v>
      </c>
      <c r="C281" s="214"/>
      <c r="D281" s="244"/>
      <c r="E281" s="215"/>
      <c r="F281" s="449"/>
      <c r="G281" s="369"/>
    </row>
    <row r="282" spans="1:7" x14ac:dyDescent="0.25">
      <c r="A282" s="217"/>
      <c r="B282" s="213" t="s">
        <v>447</v>
      </c>
      <c r="C282" s="214">
        <v>60</v>
      </c>
      <c r="D282" s="244" t="s">
        <v>279</v>
      </c>
      <c r="E282" s="215">
        <v>15000</v>
      </c>
      <c r="F282" s="449">
        <f>E282*C282</f>
        <v>900000</v>
      </c>
      <c r="G282" s="369"/>
    </row>
    <row r="283" spans="1:7" x14ac:dyDescent="0.25">
      <c r="A283" s="217"/>
      <c r="B283" s="213"/>
      <c r="C283" s="214"/>
      <c r="D283" s="244"/>
      <c r="E283" s="215"/>
      <c r="F283" s="449"/>
      <c r="G283" s="369"/>
    </row>
    <row r="284" spans="1:7" ht="24.75" x14ac:dyDescent="0.25">
      <c r="A284" s="217" t="s">
        <v>448</v>
      </c>
      <c r="B284" s="213" t="s">
        <v>337</v>
      </c>
      <c r="C284" s="214"/>
      <c r="D284" s="244"/>
      <c r="E284" s="215"/>
      <c r="F284" s="449"/>
      <c r="G284" s="369"/>
    </row>
    <row r="285" spans="1:7" x14ac:dyDescent="0.25">
      <c r="A285" s="217"/>
      <c r="B285" s="213" t="s">
        <v>338</v>
      </c>
      <c r="C285" s="214">
        <v>1</v>
      </c>
      <c r="D285" s="244" t="s">
        <v>95</v>
      </c>
      <c r="E285" s="215">
        <v>90000</v>
      </c>
      <c r="F285" s="449">
        <f>E285*C285</f>
        <v>90000</v>
      </c>
      <c r="G285" s="369"/>
    </row>
    <row r="286" spans="1:7" x14ac:dyDescent="0.25">
      <c r="A286" s="217"/>
      <c r="B286" s="213"/>
      <c r="C286" s="214"/>
      <c r="D286" s="244"/>
      <c r="E286" s="215"/>
      <c r="F286" s="449"/>
      <c r="G286" s="369"/>
    </row>
    <row r="287" spans="1:7" x14ac:dyDescent="0.25">
      <c r="A287" s="217" t="s">
        <v>449</v>
      </c>
      <c r="B287" s="213" t="s">
        <v>450</v>
      </c>
      <c r="C287" s="214"/>
      <c r="D287" s="244"/>
      <c r="E287" s="215"/>
      <c r="F287" s="449"/>
      <c r="G287" s="369"/>
    </row>
    <row r="288" spans="1:7" x14ac:dyDescent="0.25">
      <c r="A288" s="217"/>
      <c r="B288" s="213" t="s">
        <v>451</v>
      </c>
      <c r="C288" s="214">
        <v>1</v>
      </c>
      <c r="D288" s="244" t="s">
        <v>95</v>
      </c>
      <c r="E288" s="215">
        <v>50000</v>
      </c>
      <c r="F288" s="449">
        <f>E288*C288</f>
        <v>50000</v>
      </c>
      <c r="G288" s="369"/>
    </row>
    <row r="289" spans="1:14" x14ac:dyDescent="0.25">
      <c r="A289" s="217"/>
      <c r="B289" s="213" t="s">
        <v>285</v>
      </c>
      <c r="C289" s="214">
        <v>5</v>
      </c>
      <c r="D289" s="244" t="s">
        <v>165</v>
      </c>
      <c r="E289" s="215">
        <v>1000</v>
      </c>
      <c r="F289" s="449">
        <f>E289*C289</f>
        <v>5000</v>
      </c>
      <c r="G289" s="369"/>
    </row>
    <row r="290" spans="1:14" x14ac:dyDescent="0.25">
      <c r="A290" s="217"/>
      <c r="B290" s="213" t="s">
        <v>299</v>
      </c>
      <c r="C290" s="214">
        <v>1</v>
      </c>
      <c r="D290" s="244" t="s">
        <v>300</v>
      </c>
      <c r="E290" s="215">
        <v>10000</v>
      </c>
      <c r="F290" s="449">
        <f>E290*C290</f>
        <v>10000</v>
      </c>
      <c r="G290" s="369"/>
    </row>
    <row r="291" spans="1:14" x14ac:dyDescent="0.25">
      <c r="A291" s="217"/>
      <c r="B291" s="213"/>
      <c r="C291" s="214"/>
      <c r="D291" s="244"/>
      <c r="E291" s="215"/>
      <c r="F291" s="449"/>
      <c r="G291" s="369"/>
    </row>
    <row r="292" spans="1:14" x14ac:dyDescent="0.25">
      <c r="A292" s="217" t="s">
        <v>452</v>
      </c>
      <c r="B292" s="213" t="s">
        <v>374</v>
      </c>
      <c r="C292" s="214"/>
      <c r="D292" s="244"/>
      <c r="E292" s="230"/>
      <c r="F292" s="449"/>
      <c r="G292" s="369"/>
    </row>
    <row r="293" spans="1:14" ht="24.75" x14ac:dyDescent="0.25">
      <c r="A293" s="217" t="s">
        <v>453</v>
      </c>
      <c r="B293" s="213" t="s">
        <v>439</v>
      </c>
      <c r="C293" s="214"/>
      <c r="D293" s="244"/>
      <c r="E293" s="230"/>
      <c r="F293" s="449"/>
      <c r="G293" s="369"/>
    </row>
    <row r="294" spans="1:14" x14ac:dyDescent="0.25">
      <c r="A294" s="217"/>
      <c r="B294" s="213" t="s">
        <v>454</v>
      </c>
      <c r="C294" s="214">
        <v>2</v>
      </c>
      <c r="D294" s="244" t="s">
        <v>419</v>
      </c>
      <c r="E294" s="230">
        <v>300000</v>
      </c>
      <c r="F294" s="449">
        <f>E294*C294</f>
        <v>600000</v>
      </c>
      <c r="G294" s="369"/>
    </row>
    <row r="295" spans="1:14" x14ac:dyDescent="0.25">
      <c r="A295" s="217"/>
      <c r="B295" s="217"/>
      <c r="C295" s="214"/>
      <c r="D295" s="244"/>
      <c r="E295" s="230"/>
      <c r="F295" s="449"/>
      <c r="G295" s="369"/>
    </row>
    <row r="296" spans="1:14" x14ac:dyDescent="0.25">
      <c r="A296" s="243"/>
      <c r="B296" s="1823" t="s">
        <v>26</v>
      </c>
      <c r="C296" s="1794"/>
      <c r="D296" s="1794"/>
      <c r="E296" s="1795"/>
      <c r="F296" s="368">
        <f>SUM(F281:F294)</f>
        <v>1655000</v>
      </c>
      <c r="G296" s="369" t="s">
        <v>1409</v>
      </c>
      <c r="M296" s="32">
        <f>F296</f>
        <v>1655000</v>
      </c>
      <c r="N296" s="32"/>
    </row>
    <row r="297" spans="1:14" x14ac:dyDescent="0.25">
      <c r="A297" s="1762" t="s">
        <v>549</v>
      </c>
      <c r="B297" s="1762"/>
      <c r="C297" s="188" t="s">
        <v>27</v>
      </c>
      <c r="D297" s="1763" t="s">
        <v>1426</v>
      </c>
      <c r="E297" s="1763"/>
      <c r="F297" s="1763"/>
      <c r="G297" s="188"/>
    </row>
    <row r="298" spans="1:14" x14ac:dyDescent="0.25">
      <c r="A298" s="1762" t="s">
        <v>28</v>
      </c>
      <c r="B298" s="1762"/>
      <c r="C298" s="188"/>
      <c r="D298" s="1764" t="s">
        <v>2831</v>
      </c>
      <c r="E298" s="1764"/>
      <c r="F298" s="1764"/>
      <c r="G298" s="188"/>
      <c r="H298" s="36"/>
    </row>
    <row r="299" spans="1:14" x14ac:dyDescent="0.25">
      <c r="A299" s="186"/>
      <c r="B299" s="187"/>
      <c r="C299" s="188"/>
      <c r="D299" s="189"/>
      <c r="E299" s="218"/>
      <c r="F299" s="218"/>
      <c r="G299" s="188"/>
    </row>
    <row r="300" spans="1:14" x14ac:dyDescent="0.25">
      <c r="A300" s="186"/>
      <c r="B300" s="187"/>
      <c r="C300" s="188"/>
      <c r="D300" s="189"/>
      <c r="E300" s="218"/>
      <c r="F300" s="218"/>
      <c r="G300" s="188"/>
    </row>
    <row r="301" spans="1:14" x14ac:dyDescent="0.25">
      <c r="A301" s="1762"/>
      <c r="B301" s="1762"/>
      <c r="C301" s="188"/>
      <c r="D301" s="189"/>
      <c r="E301" s="1762"/>
      <c r="F301" s="1762"/>
      <c r="G301" s="188"/>
    </row>
    <row r="302" spans="1:14" ht="14.25" customHeight="1" x14ac:dyDescent="0.25">
      <c r="A302" s="1762" t="s">
        <v>29</v>
      </c>
      <c r="B302" s="1762"/>
      <c r="C302" s="188"/>
      <c r="D302" s="1762" t="s">
        <v>2992</v>
      </c>
      <c r="E302" s="1762"/>
      <c r="F302" s="1762"/>
      <c r="G302" s="188"/>
    </row>
    <row r="304" spans="1:14" x14ac:dyDescent="0.25">
      <c r="A304" s="260"/>
      <c r="B304" s="260"/>
      <c r="C304" s="188"/>
      <c r="D304" s="260"/>
      <c r="E304" s="260"/>
      <c r="F304" s="260"/>
      <c r="G304" s="188"/>
    </row>
    <row r="305" spans="1:7" x14ac:dyDescent="0.25">
      <c r="A305" s="1813" t="s">
        <v>0</v>
      </c>
      <c r="B305" s="1813"/>
      <c r="C305" s="1813"/>
      <c r="D305" s="1813"/>
      <c r="E305" s="1813"/>
      <c r="F305" s="1813"/>
      <c r="G305" s="728"/>
    </row>
    <row r="306" spans="1:7" x14ac:dyDescent="0.25">
      <c r="A306" s="1813" t="s">
        <v>1</v>
      </c>
      <c r="B306" s="1813"/>
      <c r="C306" s="1813"/>
      <c r="D306" s="1813"/>
      <c r="E306" s="1813"/>
      <c r="F306" s="1813"/>
      <c r="G306" s="728"/>
    </row>
    <row r="307" spans="1:7" x14ac:dyDescent="0.25">
      <c r="A307" s="1813" t="s">
        <v>1769</v>
      </c>
      <c r="B307" s="1813"/>
      <c r="C307" s="1813"/>
      <c r="D307" s="1813"/>
      <c r="E307" s="1813"/>
      <c r="F307" s="1813"/>
      <c r="G307" s="728"/>
    </row>
    <row r="308" spans="1:7" x14ac:dyDescent="0.25">
      <c r="A308" s="300"/>
      <c r="B308" s="300"/>
      <c r="C308" s="300"/>
      <c r="D308" s="300"/>
      <c r="E308" s="300"/>
      <c r="F308" s="300"/>
      <c r="G308" s="728"/>
    </row>
    <row r="309" spans="1:7" x14ac:dyDescent="0.25">
      <c r="A309" s="223" t="s">
        <v>261</v>
      </c>
      <c r="B309" s="223" t="s">
        <v>911</v>
      </c>
      <c r="C309" s="223"/>
      <c r="D309" s="223"/>
      <c r="E309" s="223"/>
      <c r="F309" s="223"/>
      <c r="G309" s="665"/>
    </row>
    <row r="310" spans="1:7" x14ac:dyDescent="0.25">
      <c r="A310" s="223" t="s">
        <v>262</v>
      </c>
      <c r="B310" s="223" t="s">
        <v>937</v>
      </c>
      <c r="C310" s="223"/>
      <c r="D310" s="223"/>
      <c r="E310" s="223" t="s">
        <v>6</v>
      </c>
      <c r="F310" s="223"/>
      <c r="G310" s="665"/>
    </row>
    <row r="311" spans="1:7" ht="27.75" customHeight="1" x14ac:dyDescent="0.25">
      <c r="A311" s="893" t="s">
        <v>263</v>
      </c>
      <c r="B311" s="894" t="s">
        <v>1957</v>
      </c>
      <c r="C311" s="894"/>
      <c r="D311" s="895"/>
      <c r="E311" s="895" t="s">
        <v>1474</v>
      </c>
      <c r="F311" s="893"/>
      <c r="G311" s="895"/>
    </row>
    <row r="312" spans="1:7" ht="15" customHeight="1" x14ac:dyDescent="0.25">
      <c r="A312" s="894" t="s">
        <v>457</v>
      </c>
      <c r="B312" s="1743" t="s">
        <v>61</v>
      </c>
      <c r="C312" s="1743"/>
      <c r="D312" s="1743"/>
      <c r="E312" s="1743"/>
      <c r="F312" s="1743"/>
      <c r="G312" s="894"/>
    </row>
    <row r="313" spans="1:7" ht="15" customHeight="1" x14ac:dyDescent="0.25">
      <c r="A313" s="665" t="s">
        <v>62</v>
      </c>
      <c r="B313" s="223" t="s">
        <v>63</v>
      </c>
      <c r="C313" s="223"/>
      <c r="D313" s="223"/>
      <c r="E313" s="223"/>
      <c r="F313" s="223"/>
      <c r="G313" s="665"/>
    </row>
    <row r="314" spans="1:7" ht="30" x14ac:dyDescent="0.25">
      <c r="A314" s="878" t="s">
        <v>265</v>
      </c>
      <c r="B314" s="878" t="s">
        <v>11</v>
      </c>
      <c r="C314" s="1870" t="s">
        <v>12</v>
      </c>
      <c r="D314" s="1871"/>
      <c r="E314" s="878" t="s">
        <v>13</v>
      </c>
      <c r="F314" s="878" t="s">
        <v>14</v>
      </c>
      <c r="G314" s="878" t="s">
        <v>266</v>
      </c>
    </row>
    <row r="315" spans="1:7" x14ac:dyDescent="0.25">
      <c r="A315" s="316">
        <v>1</v>
      </c>
      <c r="B315" s="316">
        <v>2</v>
      </c>
      <c r="C315" s="2048">
        <v>3</v>
      </c>
      <c r="D315" s="2049"/>
      <c r="E315" s="316">
        <v>4</v>
      </c>
      <c r="F315" s="316">
        <v>5</v>
      </c>
      <c r="G315" s="833">
        <v>6</v>
      </c>
    </row>
    <row r="316" spans="1:7" x14ac:dyDescent="0.25">
      <c r="A316" s="738" t="s">
        <v>1958</v>
      </c>
      <c r="B316" s="1744" t="s">
        <v>287</v>
      </c>
      <c r="C316" s="1745"/>
      <c r="D316" s="1746"/>
      <c r="E316" s="1747"/>
      <c r="F316" s="1748"/>
      <c r="G316" s="346"/>
    </row>
    <row r="317" spans="1:7" x14ac:dyDescent="0.25">
      <c r="A317" s="738" t="s">
        <v>1522</v>
      </c>
      <c r="B317" s="1744" t="s">
        <v>86</v>
      </c>
      <c r="C317" s="1745"/>
      <c r="D317" s="1747"/>
      <c r="E317" s="1747"/>
      <c r="F317" s="1748"/>
      <c r="G317" s="346"/>
    </row>
    <row r="318" spans="1:7" ht="24" x14ac:dyDescent="0.25">
      <c r="A318" s="738" t="s">
        <v>1959</v>
      </c>
      <c r="B318" s="1744" t="s">
        <v>317</v>
      </c>
      <c r="C318" s="722"/>
      <c r="D318" s="1747"/>
      <c r="E318" s="1749"/>
      <c r="F318" s="1750"/>
      <c r="G318" s="346"/>
    </row>
    <row r="319" spans="1:7" x14ac:dyDescent="0.25">
      <c r="A319" s="738"/>
      <c r="B319" s="1751" t="s">
        <v>1960</v>
      </c>
      <c r="C319" s="1752">
        <v>40</v>
      </c>
      <c r="D319" s="1747" t="s">
        <v>279</v>
      </c>
      <c r="E319" s="1753">
        <v>15000</v>
      </c>
      <c r="F319" s="721">
        <f>C319*E319</f>
        <v>600000</v>
      </c>
      <c r="G319" s="346"/>
    </row>
    <row r="320" spans="1:7" x14ac:dyDescent="0.25">
      <c r="A320" s="738" t="s">
        <v>1523</v>
      </c>
      <c r="B320" s="1744" t="s">
        <v>1524</v>
      </c>
      <c r="C320" s="1752"/>
      <c r="D320" s="1754"/>
      <c r="E320" s="1749"/>
      <c r="F320" s="721"/>
      <c r="G320" s="346"/>
    </row>
    <row r="321" spans="1:14" ht="24" x14ac:dyDescent="0.25">
      <c r="A321" s="738" t="s">
        <v>1525</v>
      </c>
      <c r="B321" s="1744" t="s">
        <v>337</v>
      </c>
      <c r="C321" s="1755"/>
      <c r="D321" s="1756"/>
      <c r="E321" s="1749"/>
      <c r="F321" s="721"/>
      <c r="G321" s="1"/>
    </row>
    <row r="322" spans="1:14" x14ac:dyDescent="0.25">
      <c r="A322" s="738"/>
      <c r="B322" s="1751" t="s">
        <v>338</v>
      </c>
      <c r="C322" s="722">
        <v>1</v>
      </c>
      <c r="D322" s="1747" t="s">
        <v>95</v>
      </c>
      <c r="E322" s="1753">
        <v>90000</v>
      </c>
      <c r="F322" s="721">
        <f>C322*E322</f>
        <v>90000</v>
      </c>
      <c r="G322" s="1"/>
    </row>
    <row r="323" spans="1:14" x14ac:dyDescent="0.25">
      <c r="A323" s="738" t="s">
        <v>1526</v>
      </c>
      <c r="B323" s="1757" t="s">
        <v>304</v>
      </c>
      <c r="C323" s="722"/>
      <c r="D323" s="1747"/>
      <c r="E323" s="1749"/>
      <c r="F323" s="721"/>
      <c r="G323" s="1"/>
    </row>
    <row r="324" spans="1:14" ht="24" x14ac:dyDescent="0.25">
      <c r="A324" s="738" t="s">
        <v>1527</v>
      </c>
      <c r="B324" s="1744" t="s">
        <v>707</v>
      </c>
      <c r="C324" s="722"/>
      <c r="D324" s="1747"/>
      <c r="E324" s="1749"/>
      <c r="F324" s="721"/>
      <c r="G324" s="1"/>
    </row>
    <row r="325" spans="1:14" x14ac:dyDescent="0.25">
      <c r="A325" s="1758"/>
      <c r="B325" s="1751" t="s">
        <v>1528</v>
      </c>
      <c r="C325" s="1745">
        <v>2</v>
      </c>
      <c r="D325" s="1746" t="s">
        <v>279</v>
      </c>
      <c r="E325" s="1753">
        <v>300000</v>
      </c>
      <c r="F325" s="721">
        <f>C325*E325</f>
        <v>600000</v>
      </c>
      <c r="G325" s="1"/>
    </row>
    <row r="326" spans="1:14" x14ac:dyDescent="0.25">
      <c r="A326" s="1"/>
      <c r="B326" s="967"/>
      <c r="C326" s="967"/>
      <c r="D326" s="1720"/>
      <c r="E326" s="1720"/>
      <c r="F326" s="1"/>
      <c r="G326" s="1"/>
    </row>
    <row r="327" spans="1:14" x14ac:dyDescent="0.25">
      <c r="A327" s="1"/>
      <c r="B327" s="2050" t="s">
        <v>26</v>
      </c>
      <c r="C327" s="2051"/>
      <c r="D327" s="2051"/>
      <c r="E327" s="2052"/>
      <c r="F327" s="1759">
        <f>SUM(F318:F325)</f>
        <v>1290000</v>
      </c>
      <c r="G327" s="1" t="s">
        <v>1409</v>
      </c>
      <c r="H327" t="s">
        <v>2752</v>
      </c>
      <c r="M327" s="36">
        <f>F327</f>
        <v>1290000</v>
      </c>
      <c r="N327" s="36"/>
    </row>
    <row r="328" spans="1:14" s="444" customFormat="1" ht="12" x14ac:dyDescent="0.2">
      <c r="A328" s="1762" t="s">
        <v>549</v>
      </c>
      <c r="B328" s="1762"/>
      <c r="C328" s="188" t="s">
        <v>27</v>
      </c>
      <c r="D328" s="1763" t="s">
        <v>1429</v>
      </c>
      <c r="E328" s="1763"/>
      <c r="F328" s="1763"/>
      <c r="G328" s="188"/>
    </row>
    <row r="329" spans="1:14" s="444" customFormat="1" ht="12" x14ac:dyDescent="0.2">
      <c r="A329" s="1762" t="s">
        <v>28</v>
      </c>
      <c r="B329" s="1762"/>
      <c r="C329" s="188"/>
      <c r="D329" s="1764" t="s">
        <v>2834</v>
      </c>
      <c r="E329" s="1764"/>
      <c r="F329" s="1764"/>
      <c r="G329" s="188"/>
    </row>
    <row r="330" spans="1:14" s="444" customFormat="1" ht="12" x14ac:dyDescent="0.2">
      <c r="A330" s="186"/>
      <c r="B330" s="187"/>
      <c r="C330" s="188"/>
      <c r="D330" s="189"/>
      <c r="E330" s="218"/>
      <c r="F330" s="218"/>
      <c r="G330" s="188"/>
    </row>
    <row r="331" spans="1:14" s="444" customFormat="1" ht="12" x14ac:dyDescent="0.2">
      <c r="A331" s="186"/>
      <c r="B331" s="187"/>
      <c r="C331" s="188"/>
      <c r="D331" s="189"/>
      <c r="E331" s="218"/>
      <c r="F331" s="218"/>
      <c r="G331" s="188"/>
    </row>
    <row r="332" spans="1:14" s="444" customFormat="1" ht="12" x14ac:dyDescent="0.2">
      <c r="A332" s="1762"/>
      <c r="B332" s="1762"/>
      <c r="C332" s="188"/>
      <c r="D332" s="189"/>
      <c r="E332" s="1762"/>
      <c r="F332" s="1762"/>
      <c r="G332" s="188"/>
    </row>
    <row r="333" spans="1:14" s="444" customFormat="1" ht="12" x14ac:dyDescent="0.2">
      <c r="A333" s="1762" t="s">
        <v>29</v>
      </c>
      <c r="B333" s="1762"/>
      <c r="C333" s="188"/>
      <c r="D333" s="1762" t="s">
        <v>2993</v>
      </c>
      <c r="E333" s="1762"/>
      <c r="F333" s="1762"/>
      <c r="G333" s="188"/>
    </row>
    <row r="334" spans="1:14" x14ac:dyDescent="0.25">
      <c r="A334" s="1813" t="s">
        <v>0</v>
      </c>
      <c r="B334" s="1813"/>
      <c r="C334" s="1813"/>
      <c r="D334" s="1813"/>
      <c r="E334" s="1813"/>
      <c r="F334" s="1813"/>
      <c r="G334" s="300"/>
      <c r="H334" s="97"/>
    </row>
    <row r="335" spans="1:14" x14ac:dyDescent="0.25">
      <c r="A335" s="1813" t="s">
        <v>1</v>
      </c>
      <c r="B335" s="1813"/>
      <c r="C335" s="1813"/>
      <c r="D335" s="1813"/>
      <c r="E335" s="1813"/>
      <c r="F335" s="1813"/>
      <c r="G335" s="300"/>
      <c r="H335" s="97"/>
    </row>
    <row r="336" spans="1:14" x14ac:dyDescent="0.25">
      <c r="A336" s="1813" t="s">
        <v>1769</v>
      </c>
      <c r="B336" s="1813"/>
      <c r="C336" s="1813"/>
      <c r="D336" s="1813"/>
      <c r="E336" s="1813"/>
      <c r="F336" s="1813"/>
      <c r="G336" s="300"/>
      <c r="H336" s="97"/>
    </row>
    <row r="337" spans="1:8" ht="6.75" customHeight="1" x14ac:dyDescent="0.25">
      <c r="A337" s="300"/>
      <c r="B337" s="300"/>
      <c r="C337" s="300"/>
      <c r="D337" s="300"/>
      <c r="E337" s="300"/>
      <c r="F337" s="300"/>
      <c r="G337" s="300"/>
      <c r="H337" s="97"/>
    </row>
    <row r="338" spans="1:8" x14ac:dyDescent="0.25">
      <c r="A338" s="298" t="s">
        <v>690</v>
      </c>
      <c r="B338" s="844" t="s">
        <v>2099</v>
      </c>
      <c r="C338" s="298"/>
      <c r="D338" s="298"/>
      <c r="E338" s="303" t="s">
        <v>6</v>
      </c>
      <c r="F338" s="303" t="s">
        <v>63</v>
      </c>
      <c r="G338" s="968"/>
      <c r="H338" s="97"/>
    </row>
    <row r="339" spans="1:8" s="5" customFormat="1" ht="15.75" customHeight="1" x14ac:dyDescent="0.25">
      <c r="A339" s="969" t="s">
        <v>247</v>
      </c>
      <c r="B339" s="2024" t="s">
        <v>2100</v>
      </c>
      <c r="C339" s="2024"/>
      <c r="D339" s="2024"/>
      <c r="E339" s="773" t="s">
        <v>9</v>
      </c>
      <c r="F339" s="773" t="s">
        <v>63</v>
      </c>
      <c r="G339" s="970"/>
      <c r="H339" s="971"/>
    </row>
    <row r="340" spans="1:8" ht="61.5" customHeight="1" x14ac:dyDescent="0.25">
      <c r="A340" s="847" t="s">
        <v>687</v>
      </c>
      <c r="B340" s="827" t="s">
        <v>2101</v>
      </c>
      <c r="C340" s="827"/>
      <c r="D340" s="827"/>
      <c r="E340" s="972"/>
      <c r="F340" s="844"/>
      <c r="G340" s="844"/>
      <c r="H340" s="97"/>
    </row>
    <row r="341" spans="1:8" ht="15.75" customHeight="1" x14ac:dyDescent="0.25">
      <c r="A341" s="849" t="s">
        <v>521</v>
      </c>
      <c r="B341" s="298" t="s">
        <v>63</v>
      </c>
      <c r="C341" s="298"/>
      <c r="D341" s="298"/>
      <c r="E341" s="298"/>
      <c r="F341" s="298"/>
      <c r="G341" s="298"/>
      <c r="H341" s="97"/>
    </row>
    <row r="342" spans="1:8" x14ac:dyDescent="0.25">
      <c r="A342" s="298" t="s">
        <v>62</v>
      </c>
      <c r="B342" s="298" t="s">
        <v>63</v>
      </c>
      <c r="C342" s="298"/>
      <c r="D342" s="844"/>
      <c r="E342" s="973"/>
      <c r="F342" s="298"/>
      <c r="G342" s="298"/>
      <c r="H342" s="97"/>
    </row>
    <row r="343" spans="1:8" ht="30" x14ac:dyDescent="0.25">
      <c r="A343" s="669" t="s">
        <v>30</v>
      </c>
      <c r="B343" s="669" t="s">
        <v>11</v>
      </c>
      <c r="C343" s="1978" t="s">
        <v>12</v>
      </c>
      <c r="D343" s="1979"/>
      <c r="E343" s="974" t="s">
        <v>13</v>
      </c>
      <c r="F343" s="669" t="s">
        <v>14</v>
      </c>
      <c r="G343" s="340" t="s">
        <v>266</v>
      </c>
      <c r="H343" s="97"/>
    </row>
    <row r="344" spans="1:8" ht="11.25" customHeight="1" x14ac:dyDescent="0.25">
      <c r="A344" s="975">
        <v>1</v>
      </c>
      <c r="B344" s="975">
        <v>2</v>
      </c>
      <c r="C344" s="2025">
        <v>3</v>
      </c>
      <c r="D344" s="2025"/>
      <c r="E344" s="976">
        <v>4</v>
      </c>
      <c r="F344" s="975">
        <v>5</v>
      </c>
      <c r="G344" s="975">
        <v>6</v>
      </c>
      <c r="H344" s="97"/>
    </row>
    <row r="345" spans="1:8" x14ac:dyDescent="0.25">
      <c r="A345" s="348" t="s">
        <v>1958</v>
      </c>
      <c r="B345" s="859" t="s">
        <v>314</v>
      </c>
      <c r="C345" s="696"/>
      <c r="D345" s="697"/>
      <c r="E345" s="977"/>
      <c r="F345" s="340"/>
      <c r="G345" s="343"/>
      <c r="H345" s="97"/>
    </row>
    <row r="346" spans="1:8" ht="28.5" x14ac:dyDescent="0.25">
      <c r="A346" s="348" t="s">
        <v>1522</v>
      </c>
      <c r="B346" s="859" t="s">
        <v>683</v>
      </c>
      <c r="C346" s="696"/>
      <c r="D346" s="697"/>
      <c r="E346" s="977"/>
      <c r="F346" s="340"/>
      <c r="G346" s="934"/>
      <c r="H346" s="97"/>
    </row>
    <row r="347" spans="1:8" ht="28.5" x14ac:dyDescent="0.25">
      <c r="A347" s="348" t="s">
        <v>2102</v>
      </c>
      <c r="B347" s="978" t="s">
        <v>317</v>
      </c>
      <c r="C347" s="321"/>
      <c r="D347" s="322"/>
      <c r="E347" s="979"/>
      <c r="F347" s="980"/>
      <c r="G347" s="934"/>
      <c r="H347" s="97"/>
    </row>
    <row r="348" spans="1:8" x14ac:dyDescent="0.25">
      <c r="A348" s="348"/>
      <c r="B348" s="680" t="s">
        <v>2103</v>
      </c>
      <c r="C348" s="321">
        <v>40</v>
      </c>
      <c r="D348" s="322" t="s">
        <v>279</v>
      </c>
      <c r="E348" s="337">
        <v>15000</v>
      </c>
      <c r="F348" s="981">
        <f>E348*C348</f>
        <v>600000</v>
      </c>
      <c r="G348" s="934"/>
      <c r="H348" s="97"/>
    </row>
    <row r="349" spans="1:8" ht="29.25" x14ac:dyDescent="0.25">
      <c r="A349" s="348" t="s">
        <v>1525</v>
      </c>
      <c r="B349" s="355" t="s">
        <v>2104</v>
      </c>
      <c r="C349" s="321"/>
      <c r="D349" s="322"/>
      <c r="E349" s="337"/>
      <c r="F349" s="699"/>
      <c r="G349" s="343"/>
      <c r="H349" s="97"/>
    </row>
    <row r="350" spans="1:8" x14ac:dyDescent="0.25">
      <c r="A350" s="672"/>
      <c r="B350" s="329" t="s">
        <v>338</v>
      </c>
      <c r="C350" s="321">
        <v>1</v>
      </c>
      <c r="D350" s="322" t="s">
        <v>95</v>
      </c>
      <c r="E350" s="982">
        <v>90000</v>
      </c>
      <c r="F350" s="983">
        <f>E350*C350</f>
        <v>90000</v>
      </c>
      <c r="G350" s="343"/>
      <c r="H350" s="97"/>
    </row>
    <row r="351" spans="1:8" x14ac:dyDescent="0.25">
      <c r="A351" s="348" t="s">
        <v>2105</v>
      </c>
      <c r="B351" s="984" t="s">
        <v>2106</v>
      </c>
      <c r="C351" s="321"/>
      <c r="D351" s="322"/>
      <c r="E351" s="337"/>
      <c r="F351" s="699"/>
      <c r="G351" s="343"/>
      <c r="H351" s="97"/>
    </row>
    <row r="352" spans="1:8" x14ac:dyDescent="0.25">
      <c r="A352" s="672"/>
      <c r="B352" s="329" t="s">
        <v>451</v>
      </c>
      <c r="C352" s="321">
        <v>1</v>
      </c>
      <c r="D352" s="322" t="s">
        <v>95</v>
      </c>
      <c r="E352" s="337">
        <v>50000</v>
      </c>
      <c r="F352" s="699">
        <f>E352*C352</f>
        <v>50000</v>
      </c>
      <c r="G352" s="343"/>
      <c r="H352" s="97"/>
    </row>
    <row r="353" spans="1:8" x14ac:dyDescent="0.25">
      <c r="A353" s="348" t="s">
        <v>1526</v>
      </c>
      <c r="B353" s="984" t="s">
        <v>304</v>
      </c>
      <c r="C353" s="321"/>
      <c r="D353" s="322"/>
      <c r="E353" s="334"/>
      <c r="F353" s="699"/>
      <c r="G353" s="343"/>
      <c r="H353" s="97"/>
    </row>
    <row r="354" spans="1:8" ht="42.75" x14ac:dyDescent="0.25">
      <c r="A354" s="348" t="s">
        <v>2107</v>
      </c>
      <c r="B354" s="946" t="s">
        <v>517</v>
      </c>
      <c r="C354" s="321"/>
      <c r="D354" s="322"/>
      <c r="E354" s="334"/>
      <c r="F354" s="699"/>
      <c r="G354" s="343"/>
      <c r="H354" s="97"/>
    </row>
    <row r="355" spans="1:8" x14ac:dyDescent="0.25">
      <c r="A355" s="672"/>
      <c r="B355" s="329" t="s">
        <v>429</v>
      </c>
      <c r="C355" s="321">
        <v>1</v>
      </c>
      <c r="D355" s="322" t="s">
        <v>279</v>
      </c>
      <c r="E355" s="334">
        <v>300000</v>
      </c>
      <c r="F355" s="699">
        <f>E355*C355</f>
        <v>300000</v>
      </c>
      <c r="G355" s="343"/>
      <c r="H355" s="97"/>
    </row>
    <row r="356" spans="1:8" x14ac:dyDescent="0.25">
      <c r="A356" s="672"/>
      <c r="B356" s="329" t="s">
        <v>535</v>
      </c>
      <c r="C356" s="321">
        <v>1</v>
      </c>
      <c r="D356" s="322" t="s">
        <v>279</v>
      </c>
      <c r="E356" s="334">
        <v>250000</v>
      </c>
      <c r="F356" s="699">
        <f>E356*C356</f>
        <v>250000</v>
      </c>
      <c r="G356" s="343"/>
      <c r="H356" s="97"/>
    </row>
    <row r="357" spans="1:8" x14ac:dyDescent="0.25">
      <c r="A357" s="672"/>
      <c r="B357" s="329" t="s">
        <v>518</v>
      </c>
      <c r="C357" s="321">
        <v>1</v>
      </c>
      <c r="D357" s="322" t="s">
        <v>279</v>
      </c>
      <c r="E357" s="334">
        <v>200000</v>
      </c>
      <c r="F357" s="699">
        <f>E357*C357</f>
        <v>200000</v>
      </c>
      <c r="G357" s="343"/>
      <c r="H357" s="97"/>
    </row>
    <row r="358" spans="1:8" ht="30.75" customHeight="1" x14ac:dyDescent="0.25">
      <c r="A358" s="348" t="s">
        <v>1527</v>
      </c>
      <c r="B358" s="946" t="s">
        <v>1895</v>
      </c>
      <c r="C358" s="321"/>
      <c r="D358" s="322"/>
      <c r="E358" s="928"/>
      <c r="F358" s="980"/>
      <c r="G358" s="934"/>
      <c r="H358" s="97"/>
    </row>
    <row r="359" spans="1:8" x14ac:dyDescent="0.25">
      <c r="A359" s="672"/>
      <c r="B359" s="329" t="s">
        <v>2108</v>
      </c>
      <c r="C359" s="321">
        <v>2</v>
      </c>
      <c r="D359" s="322" t="s">
        <v>279</v>
      </c>
      <c r="E359" s="928">
        <v>300000</v>
      </c>
      <c r="F359" s="980">
        <f>E359*C359</f>
        <v>600000</v>
      </c>
      <c r="G359" s="934"/>
      <c r="H359" s="97"/>
    </row>
    <row r="360" spans="1:8" ht="30" customHeight="1" x14ac:dyDescent="0.25">
      <c r="A360" s="348" t="s">
        <v>2109</v>
      </c>
      <c r="B360" s="946" t="s">
        <v>2110</v>
      </c>
      <c r="C360" s="321"/>
      <c r="D360" s="322"/>
      <c r="E360" s="928"/>
      <c r="F360" s="980"/>
      <c r="G360" s="934"/>
      <c r="H360" s="97"/>
    </row>
    <row r="361" spans="1:8" ht="15.75" customHeight="1" x14ac:dyDescent="0.25">
      <c r="A361" s="348" t="s">
        <v>2111</v>
      </c>
      <c r="B361" s="985" t="s">
        <v>2112</v>
      </c>
      <c r="C361" s="321"/>
      <c r="D361" s="322"/>
      <c r="E361" s="928"/>
      <c r="F361" s="980"/>
      <c r="G361" s="934"/>
      <c r="H361" s="97"/>
    </row>
    <row r="362" spans="1:8" ht="12.75" customHeight="1" x14ac:dyDescent="0.25">
      <c r="A362" s="348"/>
      <c r="B362" s="986" t="s">
        <v>2113</v>
      </c>
      <c r="C362" s="321"/>
      <c r="D362" s="322"/>
      <c r="E362" s="928"/>
      <c r="F362" s="980"/>
      <c r="G362" s="934"/>
      <c r="H362" s="97"/>
    </row>
    <row r="363" spans="1:8" ht="15.75" customHeight="1" x14ac:dyDescent="0.25">
      <c r="A363" s="348"/>
      <c r="B363" s="950" t="s">
        <v>2114</v>
      </c>
      <c r="C363" s="321">
        <v>1</v>
      </c>
      <c r="D363" s="322" t="s">
        <v>92</v>
      </c>
      <c r="E363" s="928">
        <v>1000000</v>
      </c>
      <c r="F363" s="980">
        <f>C363*E363</f>
        <v>1000000</v>
      </c>
      <c r="G363" s="934"/>
      <c r="H363" s="97"/>
    </row>
    <row r="364" spans="1:8" ht="15.75" customHeight="1" x14ac:dyDescent="0.25">
      <c r="A364" s="348"/>
      <c r="B364" s="950" t="s">
        <v>2115</v>
      </c>
      <c r="C364" s="321">
        <v>1</v>
      </c>
      <c r="D364" s="322" t="s">
        <v>138</v>
      </c>
      <c r="E364" s="928">
        <v>125900</v>
      </c>
      <c r="F364" s="980">
        <f t="shared" ref="F364:F393" si="3">C364*E364</f>
        <v>125900</v>
      </c>
      <c r="G364" s="934"/>
      <c r="H364" s="97"/>
    </row>
    <row r="365" spans="1:8" ht="15.75" customHeight="1" x14ac:dyDescent="0.25">
      <c r="A365" s="348"/>
      <c r="B365" s="950" t="s">
        <v>2116</v>
      </c>
      <c r="C365" s="321">
        <v>1</v>
      </c>
      <c r="D365" s="322" t="s">
        <v>92</v>
      </c>
      <c r="E365" s="928">
        <v>250000</v>
      </c>
      <c r="F365" s="980">
        <f t="shared" si="3"/>
        <v>250000</v>
      </c>
      <c r="G365" s="934"/>
      <c r="H365" s="97"/>
    </row>
    <row r="366" spans="1:8" ht="15.75" customHeight="1" x14ac:dyDescent="0.25">
      <c r="A366" s="348"/>
      <c r="B366" s="950" t="s">
        <v>2117</v>
      </c>
      <c r="C366" s="321">
        <v>3</v>
      </c>
      <c r="D366" s="322" t="s">
        <v>92</v>
      </c>
      <c r="E366" s="928">
        <v>161000</v>
      </c>
      <c r="F366" s="980">
        <f t="shared" si="3"/>
        <v>483000</v>
      </c>
      <c r="G366" s="934"/>
      <c r="H366" s="97"/>
    </row>
    <row r="367" spans="1:8" ht="15.75" customHeight="1" x14ac:dyDescent="0.25">
      <c r="A367" s="348"/>
      <c r="B367" s="950" t="s">
        <v>2118</v>
      </c>
      <c r="C367" s="321">
        <v>3</v>
      </c>
      <c r="D367" s="322" t="s">
        <v>92</v>
      </c>
      <c r="E367" s="928">
        <v>50000</v>
      </c>
      <c r="F367" s="980">
        <f t="shared" si="3"/>
        <v>150000</v>
      </c>
      <c r="G367" s="934"/>
      <c r="H367" s="97"/>
    </row>
    <row r="368" spans="1:8" ht="15.75" customHeight="1" x14ac:dyDescent="0.25">
      <c r="A368" s="348"/>
      <c r="B368" s="950" t="s">
        <v>2119</v>
      </c>
      <c r="C368" s="321">
        <v>3</v>
      </c>
      <c r="D368" s="322" t="s">
        <v>92</v>
      </c>
      <c r="E368" s="928">
        <v>31000</v>
      </c>
      <c r="F368" s="980">
        <f t="shared" si="3"/>
        <v>93000</v>
      </c>
      <c r="G368" s="934"/>
      <c r="H368" s="97"/>
    </row>
    <row r="369" spans="1:8" ht="15.75" customHeight="1" x14ac:dyDescent="0.25">
      <c r="A369" s="348"/>
      <c r="B369" s="950" t="s">
        <v>2120</v>
      </c>
      <c r="C369" s="321">
        <v>3</v>
      </c>
      <c r="D369" s="322" t="s">
        <v>92</v>
      </c>
      <c r="E369" s="928">
        <v>20000</v>
      </c>
      <c r="F369" s="980">
        <f t="shared" si="3"/>
        <v>60000</v>
      </c>
      <c r="G369" s="934"/>
      <c r="H369" s="97"/>
    </row>
    <row r="370" spans="1:8" ht="15.75" customHeight="1" x14ac:dyDescent="0.25">
      <c r="A370" s="348"/>
      <c r="B370" s="950" t="s">
        <v>2121</v>
      </c>
      <c r="C370" s="321">
        <v>1</v>
      </c>
      <c r="D370" s="322" t="s">
        <v>92</v>
      </c>
      <c r="E370" s="928">
        <v>206000</v>
      </c>
      <c r="F370" s="980">
        <f t="shared" si="3"/>
        <v>206000</v>
      </c>
      <c r="G370" s="934"/>
      <c r="H370" s="97"/>
    </row>
    <row r="371" spans="1:8" ht="13.5" customHeight="1" x14ac:dyDescent="0.25">
      <c r="A371" s="348"/>
      <c r="B371" s="986" t="s">
        <v>2122</v>
      </c>
      <c r="C371" s="321"/>
      <c r="D371" s="322"/>
      <c r="E371" s="928"/>
      <c r="F371" s="980"/>
      <c r="G371" s="934"/>
      <c r="H371" s="97"/>
    </row>
    <row r="372" spans="1:8" ht="15.75" customHeight="1" x14ac:dyDescent="0.25">
      <c r="A372" s="348"/>
      <c r="B372" s="950" t="s">
        <v>2123</v>
      </c>
      <c r="C372" s="321">
        <v>2</v>
      </c>
      <c r="D372" s="322" t="s">
        <v>159</v>
      </c>
      <c r="E372" s="928">
        <v>29500</v>
      </c>
      <c r="F372" s="980">
        <f t="shared" si="3"/>
        <v>59000</v>
      </c>
      <c r="G372" s="934"/>
      <c r="H372" s="97"/>
    </row>
    <row r="373" spans="1:8" ht="15.75" customHeight="1" x14ac:dyDescent="0.25">
      <c r="A373" s="348"/>
      <c r="B373" s="950" t="s">
        <v>2124</v>
      </c>
      <c r="C373" s="321">
        <v>4</v>
      </c>
      <c r="D373" s="322" t="s">
        <v>159</v>
      </c>
      <c r="E373" s="928">
        <v>50000</v>
      </c>
      <c r="F373" s="980">
        <f t="shared" si="3"/>
        <v>200000</v>
      </c>
      <c r="G373" s="934"/>
      <c r="H373" s="97"/>
    </row>
    <row r="374" spans="1:8" x14ac:dyDescent="0.25">
      <c r="A374" s="343"/>
      <c r="B374" s="329" t="s">
        <v>2125</v>
      </c>
      <c r="C374" s="321">
        <v>1</v>
      </c>
      <c r="D374" s="322" t="s">
        <v>159</v>
      </c>
      <c r="E374" s="928">
        <v>40000</v>
      </c>
      <c r="F374" s="980">
        <f t="shared" si="3"/>
        <v>40000</v>
      </c>
      <c r="G374" s="934"/>
      <c r="H374" s="97"/>
    </row>
    <row r="375" spans="1:8" x14ac:dyDescent="0.25">
      <c r="A375" s="343"/>
      <c r="B375" s="329" t="s">
        <v>2126</v>
      </c>
      <c r="C375" s="987">
        <v>1</v>
      </c>
      <c r="D375" s="322" t="s">
        <v>2127</v>
      </c>
      <c r="E375" s="928">
        <v>25000</v>
      </c>
      <c r="F375" s="980">
        <f t="shared" si="3"/>
        <v>25000</v>
      </c>
      <c r="G375" s="934"/>
      <c r="H375" s="97"/>
    </row>
    <row r="376" spans="1:8" x14ac:dyDescent="0.25">
      <c r="A376" s="343"/>
      <c r="B376" s="329" t="s">
        <v>698</v>
      </c>
      <c r="C376" s="321">
        <v>30</v>
      </c>
      <c r="D376" s="322" t="s">
        <v>2128</v>
      </c>
      <c r="E376" s="928">
        <v>5000</v>
      </c>
      <c r="F376" s="980">
        <f t="shared" si="3"/>
        <v>150000</v>
      </c>
      <c r="G376" s="934"/>
      <c r="H376" s="97"/>
    </row>
    <row r="377" spans="1:8" x14ac:dyDescent="0.25">
      <c r="A377" s="343"/>
      <c r="B377" s="329" t="s">
        <v>2129</v>
      </c>
      <c r="C377" s="321">
        <v>1</v>
      </c>
      <c r="D377" s="322" t="s">
        <v>159</v>
      </c>
      <c r="E377" s="928">
        <v>40000</v>
      </c>
      <c r="F377" s="980">
        <f t="shared" si="3"/>
        <v>40000</v>
      </c>
      <c r="G377" s="934"/>
      <c r="H377" s="97"/>
    </row>
    <row r="378" spans="1:8" x14ac:dyDescent="0.25">
      <c r="A378" s="343"/>
      <c r="B378" s="329" t="s">
        <v>2130</v>
      </c>
      <c r="C378" s="321">
        <v>1</v>
      </c>
      <c r="D378" s="322" t="s">
        <v>479</v>
      </c>
      <c r="E378" s="928">
        <v>49000</v>
      </c>
      <c r="F378" s="980">
        <f t="shared" si="3"/>
        <v>49000</v>
      </c>
      <c r="G378" s="934"/>
      <c r="H378" s="97"/>
    </row>
    <row r="379" spans="1:8" x14ac:dyDescent="0.25">
      <c r="A379" s="343"/>
      <c r="B379" s="329" t="s">
        <v>2131</v>
      </c>
      <c r="C379" s="321">
        <v>1</v>
      </c>
      <c r="D379" s="322" t="s">
        <v>479</v>
      </c>
      <c r="E379" s="928">
        <v>25000</v>
      </c>
      <c r="F379" s="980">
        <f t="shared" si="3"/>
        <v>25000</v>
      </c>
      <c r="G379" s="934"/>
      <c r="H379" s="97"/>
    </row>
    <row r="380" spans="1:8" x14ac:dyDescent="0.25">
      <c r="A380" s="343"/>
      <c r="B380" s="329" t="s">
        <v>2132</v>
      </c>
      <c r="C380" s="321">
        <v>1</v>
      </c>
      <c r="D380" s="322" t="s">
        <v>300</v>
      </c>
      <c r="E380" s="928">
        <v>25000</v>
      </c>
      <c r="F380" s="980">
        <f t="shared" si="3"/>
        <v>25000</v>
      </c>
      <c r="G380" s="934"/>
      <c r="H380" s="97"/>
    </row>
    <row r="381" spans="1:8" x14ac:dyDescent="0.25">
      <c r="A381" s="343"/>
      <c r="B381" s="329" t="s">
        <v>2133</v>
      </c>
      <c r="C381" s="321">
        <v>1</v>
      </c>
      <c r="D381" s="322" t="s">
        <v>122</v>
      </c>
      <c r="E381" s="928">
        <v>32000</v>
      </c>
      <c r="F381" s="980">
        <f t="shared" si="3"/>
        <v>32000</v>
      </c>
      <c r="G381" s="934"/>
      <c r="H381" s="97"/>
    </row>
    <row r="382" spans="1:8" x14ac:dyDescent="0.25">
      <c r="A382" s="343"/>
      <c r="B382" s="329" t="s">
        <v>2134</v>
      </c>
      <c r="C382" s="321">
        <v>1</v>
      </c>
      <c r="D382" s="322" t="s">
        <v>122</v>
      </c>
      <c r="E382" s="928">
        <v>18000</v>
      </c>
      <c r="F382" s="980">
        <f t="shared" si="3"/>
        <v>18000</v>
      </c>
      <c r="G382" s="934"/>
      <c r="H382" s="97"/>
    </row>
    <row r="383" spans="1:8" x14ac:dyDescent="0.25">
      <c r="A383" s="343"/>
      <c r="B383" s="329" t="s">
        <v>2135</v>
      </c>
      <c r="C383" s="321">
        <v>2</v>
      </c>
      <c r="D383" s="322" t="s">
        <v>159</v>
      </c>
      <c r="E383" s="928">
        <v>25000</v>
      </c>
      <c r="F383" s="980">
        <f t="shared" si="3"/>
        <v>50000</v>
      </c>
      <c r="G383" s="934"/>
      <c r="H383" s="97"/>
    </row>
    <row r="384" spans="1:8" ht="12.75" customHeight="1" x14ac:dyDescent="0.25">
      <c r="A384" s="343"/>
      <c r="B384" s="986" t="s">
        <v>2136</v>
      </c>
      <c r="C384" s="321"/>
      <c r="D384" s="322"/>
      <c r="E384" s="928"/>
      <c r="F384" s="980"/>
      <c r="G384" s="934"/>
      <c r="H384" s="97"/>
    </row>
    <row r="385" spans="1:14" x14ac:dyDescent="0.25">
      <c r="A385" s="343"/>
      <c r="B385" s="348" t="s">
        <v>2137</v>
      </c>
      <c r="C385" s="321">
        <v>1</v>
      </c>
      <c r="D385" s="322" t="s">
        <v>159</v>
      </c>
      <c r="E385" s="928">
        <v>13000</v>
      </c>
      <c r="F385" s="980">
        <f t="shared" si="3"/>
        <v>13000</v>
      </c>
      <c r="G385" s="934"/>
      <c r="H385" s="97"/>
    </row>
    <row r="386" spans="1:14" x14ac:dyDescent="0.25">
      <c r="A386" s="343"/>
      <c r="B386" s="348" t="s">
        <v>2138</v>
      </c>
      <c r="C386" s="321">
        <v>1</v>
      </c>
      <c r="D386" s="322" t="s">
        <v>159</v>
      </c>
      <c r="E386" s="928">
        <v>11000</v>
      </c>
      <c r="F386" s="980">
        <f t="shared" si="3"/>
        <v>11000</v>
      </c>
      <c r="G386" s="934"/>
      <c r="H386" s="97"/>
    </row>
    <row r="387" spans="1:14" x14ac:dyDescent="0.25">
      <c r="A387" s="343"/>
      <c r="B387" s="348" t="s">
        <v>2139</v>
      </c>
      <c r="C387" s="321">
        <v>2</v>
      </c>
      <c r="D387" s="322" t="s">
        <v>300</v>
      </c>
      <c r="E387" s="928">
        <v>100000</v>
      </c>
      <c r="F387" s="980">
        <f t="shared" si="3"/>
        <v>200000</v>
      </c>
      <c r="G387" s="934"/>
      <c r="H387" s="97"/>
    </row>
    <row r="388" spans="1:14" x14ac:dyDescent="0.25">
      <c r="A388" s="343"/>
      <c r="B388" s="348" t="s">
        <v>698</v>
      </c>
      <c r="C388" s="321">
        <v>30</v>
      </c>
      <c r="D388" s="322" t="s">
        <v>2128</v>
      </c>
      <c r="E388" s="928">
        <v>5000</v>
      </c>
      <c r="F388" s="980">
        <f t="shared" si="3"/>
        <v>150000</v>
      </c>
      <c r="G388" s="934"/>
      <c r="H388" s="97"/>
    </row>
    <row r="389" spans="1:14" x14ac:dyDescent="0.25">
      <c r="A389" s="343"/>
      <c r="B389" s="348" t="s">
        <v>2140</v>
      </c>
      <c r="C389" s="321">
        <v>3</v>
      </c>
      <c r="D389" s="322" t="s">
        <v>300</v>
      </c>
      <c r="E389" s="928">
        <v>70000</v>
      </c>
      <c r="F389" s="980">
        <f t="shared" si="3"/>
        <v>210000</v>
      </c>
      <c r="G389" s="934"/>
      <c r="H389" s="97"/>
    </row>
    <row r="390" spans="1:14" x14ac:dyDescent="0.25">
      <c r="A390" s="343"/>
      <c r="B390" s="864" t="s">
        <v>2125</v>
      </c>
      <c r="C390" s="321">
        <v>1</v>
      </c>
      <c r="D390" s="322" t="s">
        <v>159</v>
      </c>
      <c r="E390" s="928">
        <v>40000</v>
      </c>
      <c r="F390" s="980">
        <f t="shared" si="3"/>
        <v>40000</v>
      </c>
      <c r="G390" s="934"/>
      <c r="H390" s="97"/>
    </row>
    <row r="391" spans="1:14" x14ac:dyDescent="0.25">
      <c r="A391" s="343"/>
      <c r="B391" s="864" t="s">
        <v>2141</v>
      </c>
      <c r="C391" s="321">
        <v>1</v>
      </c>
      <c r="D391" s="322" t="s">
        <v>159</v>
      </c>
      <c r="E391" s="928">
        <v>30000</v>
      </c>
      <c r="F391" s="980">
        <f t="shared" si="3"/>
        <v>30000</v>
      </c>
      <c r="G391" s="934"/>
      <c r="H391" s="97"/>
    </row>
    <row r="392" spans="1:14" x14ac:dyDescent="0.25">
      <c r="A392" s="343"/>
      <c r="B392" s="864" t="s">
        <v>2133</v>
      </c>
      <c r="C392" s="321">
        <v>1</v>
      </c>
      <c r="D392" s="322" t="s">
        <v>122</v>
      </c>
      <c r="E392" s="928">
        <v>32000</v>
      </c>
      <c r="F392" s="980">
        <f t="shared" si="3"/>
        <v>32000</v>
      </c>
      <c r="G392" s="934"/>
      <c r="H392" s="97"/>
    </row>
    <row r="393" spans="1:14" x14ac:dyDescent="0.25">
      <c r="A393" s="343"/>
      <c r="B393" s="864" t="s">
        <v>2134</v>
      </c>
      <c r="C393" s="321">
        <v>1</v>
      </c>
      <c r="D393" s="322" t="s">
        <v>122</v>
      </c>
      <c r="E393" s="928">
        <v>18000</v>
      </c>
      <c r="F393" s="980">
        <f t="shared" si="3"/>
        <v>18000</v>
      </c>
      <c r="G393" s="934"/>
      <c r="H393" s="97"/>
    </row>
    <row r="394" spans="1:14" ht="8.25" customHeight="1" x14ac:dyDescent="0.25">
      <c r="A394" s="343"/>
      <c r="B394" s="329"/>
      <c r="C394" s="345"/>
      <c r="D394" s="988"/>
      <c r="E394" s="337"/>
      <c r="F394" s="702"/>
      <c r="G394" s="934"/>
      <c r="H394" s="97"/>
    </row>
    <row r="395" spans="1:14" x14ac:dyDescent="0.25">
      <c r="A395" s="2026" t="s">
        <v>26</v>
      </c>
      <c r="B395" s="2026"/>
      <c r="C395" s="2026"/>
      <c r="D395" s="2026"/>
      <c r="E395" s="2026"/>
      <c r="F395" s="989">
        <f>SUM(F348:F393)</f>
        <v>5874900</v>
      </c>
      <c r="G395" s="314" t="s">
        <v>1409</v>
      </c>
      <c r="H395" s="97"/>
      <c r="L395" s="32"/>
      <c r="M395" s="32">
        <f>F395</f>
        <v>5874900</v>
      </c>
      <c r="N395" s="32"/>
    </row>
    <row r="396" spans="1:14" s="444" customFormat="1" ht="12" x14ac:dyDescent="0.2">
      <c r="A396" s="1762" t="s">
        <v>549</v>
      </c>
      <c r="B396" s="1762"/>
      <c r="C396" s="188" t="s">
        <v>27</v>
      </c>
      <c r="D396" s="1763" t="s">
        <v>1429</v>
      </c>
      <c r="E396" s="1763"/>
      <c r="F396" s="1763"/>
      <c r="G396" s="188"/>
    </row>
    <row r="397" spans="1:14" s="444" customFormat="1" ht="12" x14ac:dyDescent="0.2">
      <c r="A397" s="1762" t="s">
        <v>28</v>
      </c>
      <c r="B397" s="1762"/>
      <c r="C397" s="188"/>
      <c r="D397" s="1764" t="s">
        <v>2834</v>
      </c>
      <c r="E397" s="1764"/>
      <c r="F397" s="1764"/>
      <c r="G397" s="188"/>
    </row>
    <row r="398" spans="1:14" s="444" customFormat="1" ht="12" x14ac:dyDescent="0.2">
      <c r="A398" s="186"/>
      <c r="B398" s="187"/>
      <c r="C398" s="188"/>
      <c r="D398" s="189"/>
      <c r="E398" s="218"/>
      <c r="F398" s="218"/>
      <c r="G398" s="188"/>
    </row>
    <row r="399" spans="1:14" s="444" customFormat="1" ht="12" x14ac:dyDescent="0.2">
      <c r="A399" s="186"/>
      <c r="B399" s="187"/>
      <c r="C399" s="188"/>
      <c r="D399" s="189"/>
      <c r="E399" s="218"/>
      <c r="F399" s="218"/>
      <c r="G399" s="188"/>
    </row>
    <row r="400" spans="1:14" s="444" customFormat="1" ht="12" x14ac:dyDescent="0.2">
      <c r="A400" s="1762"/>
      <c r="B400" s="1762"/>
      <c r="C400" s="188"/>
      <c r="D400" s="189"/>
      <c r="E400" s="1762"/>
      <c r="F400" s="1762"/>
      <c r="G400" s="188"/>
    </row>
    <row r="401" spans="1:8" s="444" customFormat="1" ht="12" x14ac:dyDescent="0.2">
      <c r="A401" s="1762" t="s">
        <v>29</v>
      </c>
      <c r="B401" s="1762"/>
      <c r="C401" s="188"/>
      <c r="D401" s="1762" t="s">
        <v>2993</v>
      </c>
      <c r="E401" s="1762"/>
      <c r="F401" s="1762"/>
      <c r="G401" s="188"/>
    </row>
    <row r="402" spans="1:8" x14ac:dyDescent="0.25">
      <c r="A402" s="1813" t="s">
        <v>0</v>
      </c>
      <c r="B402" s="1813"/>
      <c r="C402" s="1813"/>
      <c r="D402" s="1813"/>
      <c r="E402" s="1813"/>
      <c r="F402" s="1813"/>
      <c r="G402" s="300"/>
      <c r="H402" s="97"/>
    </row>
    <row r="403" spans="1:8" x14ac:dyDescent="0.25">
      <c r="A403" s="1813" t="s">
        <v>1</v>
      </c>
      <c r="B403" s="1813"/>
      <c r="C403" s="1813"/>
      <c r="D403" s="1813"/>
      <c r="E403" s="1813"/>
      <c r="F403" s="1813"/>
      <c r="G403" s="300"/>
      <c r="H403" s="97"/>
    </row>
    <row r="404" spans="1:8" x14ac:dyDescent="0.25">
      <c r="A404" s="1813" t="s">
        <v>1769</v>
      </c>
      <c r="B404" s="1813"/>
      <c r="C404" s="1813"/>
      <c r="D404" s="1813"/>
      <c r="E404" s="1813"/>
      <c r="F404" s="1813"/>
      <c r="G404" s="300"/>
      <c r="H404" s="97"/>
    </row>
    <row r="405" spans="1:8" x14ac:dyDescent="0.25">
      <c r="A405" s="300"/>
      <c r="B405" s="300"/>
      <c r="C405" s="300"/>
      <c r="D405" s="300"/>
      <c r="E405" s="300"/>
      <c r="F405" s="300"/>
      <c r="G405" s="300"/>
      <c r="H405" s="97"/>
    </row>
    <row r="406" spans="1:8" x14ac:dyDescent="0.25">
      <c r="A406" s="298" t="s">
        <v>690</v>
      </c>
      <c r="B406" s="844" t="s">
        <v>2099</v>
      </c>
      <c r="C406" s="298"/>
      <c r="D406" s="298"/>
      <c r="E406" s="303" t="s">
        <v>6</v>
      </c>
      <c r="F406" s="303" t="s">
        <v>63</v>
      </c>
      <c r="G406" s="968"/>
      <c r="H406" s="97"/>
    </row>
    <row r="407" spans="1:8" s="5" customFormat="1" ht="15.75" customHeight="1" x14ac:dyDescent="0.25">
      <c r="A407" s="969" t="s">
        <v>247</v>
      </c>
      <c r="B407" s="2024" t="s">
        <v>2100</v>
      </c>
      <c r="C407" s="2024"/>
      <c r="D407" s="2024"/>
      <c r="E407" s="773" t="s">
        <v>9</v>
      </c>
      <c r="F407" s="773" t="s">
        <v>63</v>
      </c>
      <c r="G407" s="970"/>
      <c r="H407" s="971"/>
    </row>
    <row r="408" spans="1:8" ht="87" customHeight="1" x14ac:dyDescent="0.25">
      <c r="A408" s="847" t="s">
        <v>687</v>
      </c>
      <c r="B408" s="827" t="s">
        <v>2142</v>
      </c>
      <c r="C408" s="827"/>
      <c r="D408" s="827"/>
      <c r="E408" s="972"/>
      <c r="F408" s="844"/>
      <c r="G408" s="844"/>
      <c r="H408" s="97"/>
    </row>
    <row r="409" spans="1:8" ht="15.75" customHeight="1" x14ac:dyDescent="0.25">
      <c r="A409" s="849" t="s">
        <v>521</v>
      </c>
      <c r="B409" s="298" t="s">
        <v>63</v>
      </c>
      <c r="C409" s="298"/>
      <c r="D409" s="298"/>
      <c r="E409" s="298"/>
      <c r="F409" s="298"/>
      <c r="G409" s="298"/>
      <c r="H409" s="97"/>
    </row>
    <row r="410" spans="1:8" x14ac:dyDescent="0.25">
      <c r="A410" s="298" t="s">
        <v>62</v>
      </c>
      <c r="B410" s="298" t="s">
        <v>63</v>
      </c>
      <c r="C410" s="298"/>
      <c r="D410" s="844"/>
      <c r="E410" s="973"/>
      <c r="F410" s="298"/>
      <c r="G410" s="298"/>
      <c r="H410" s="97"/>
    </row>
    <row r="411" spans="1:8" ht="30" x14ac:dyDescent="0.25">
      <c r="A411" s="669" t="s">
        <v>30</v>
      </c>
      <c r="B411" s="669" t="s">
        <v>11</v>
      </c>
      <c r="C411" s="1978" t="s">
        <v>12</v>
      </c>
      <c r="D411" s="1979"/>
      <c r="E411" s="974" t="s">
        <v>13</v>
      </c>
      <c r="F411" s="669" t="s">
        <v>14</v>
      </c>
      <c r="G411" s="340" t="s">
        <v>34</v>
      </c>
      <c r="H411" s="97"/>
    </row>
    <row r="412" spans="1:8" x14ac:dyDescent="0.25">
      <c r="A412" s="340">
        <v>1</v>
      </c>
      <c r="B412" s="340">
        <v>2</v>
      </c>
      <c r="C412" s="1840">
        <v>3</v>
      </c>
      <c r="D412" s="1840"/>
      <c r="E412" s="977">
        <v>4</v>
      </c>
      <c r="F412" s="340">
        <v>5</v>
      </c>
      <c r="G412" s="340">
        <v>6</v>
      </c>
      <c r="H412" s="97"/>
    </row>
    <row r="413" spans="1:8" x14ac:dyDescent="0.25">
      <c r="A413" s="348" t="s">
        <v>1958</v>
      </c>
      <c r="B413" s="990" t="s">
        <v>314</v>
      </c>
      <c r="C413" s="696"/>
      <c r="D413" s="697"/>
      <c r="E413" s="977"/>
      <c r="F413" s="340"/>
      <c r="G413" s="343"/>
      <c r="H413" s="97"/>
    </row>
    <row r="414" spans="1:8" x14ac:dyDescent="0.25">
      <c r="A414" s="348" t="s">
        <v>1522</v>
      </c>
      <c r="B414" s="990" t="s">
        <v>683</v>
      </c>
      <c r="C414" s="696"/>
      <c r="D414" s="697"/>
      <c r="E414" s="977"/>
      <c r="F414" s="340"/>
      <c r="G414" s="934"/>
      <c r="H414" s="97"/>
    </row>
    <row r="415" spans="1:8" ht="28.5" x14ac:dyDescent="0.25">
      <c r="A415" s="348" t="s">
        <v>2102</v>
      </c>
      <c r="B415" s="978" t="s">
        <v>317</v>
      </c>
      <c r="C415" s="321"/>
      <c r="D415" s="322"/>
      <c r="E415" s="979"/>
      <c r="F415" s="980"/>
      <c r="G415" s="934"/>
      <c r="H415" s="97"/>
    </row>
    <row r="416" spans="1:8" x14ac:dyDescent="0.25">
      <c r="A416" s="348"/>
      <c r="B416" s="680" t="s">
        <v>2103</v>
      </c>
      <c r="C416" s="321">
        <v>40</v>
      </c>
      <c r="D416" s="322" t="s">
        <v>279</v>
      </c>
      <c r="E416" s="337">
        <v>15000</v>
      </c>
      <c r="F416" s="981">
        <f>E416*C416</f>
        <v>600000</v>
      </c>
      <c r="G416" s="934"/>
      <c r="H416" s="97"/>
    </row>
    <row r="417" spans="1:8" ht="29.25" x14ac:dyDescent="0.25">
      <c r="A417" s="348" t="s">
        <v>1525</v>
      </c>
      <c r="B417" s="355" t="s">
        <v>337</v>
      </c>
      <c r="C417" s="321"/>
      <c r="D417" s="322"/>
      <c r="E417" s="337"/>
      <c r="F417" s="699"/>
      <c r="G417" s="343"/>
      <c r="H417" s="97"/>
    </row>
    <row r="418" spans="1:8" x14ac:dyDescent="0.25">
      <c r="A418" s="672"/>
      <c r="B418" s="329" t="s">
        <v>338</v>
      </c>
      <c r="C418" s="321">
        <v>1</v>
      </c>
      <c r="D418" s="322" t="s">
        <v>95</v>
      </c>
      <c r="E418" s="982">
        <v>90000</v>
      </c>
      <c r="F418" s="983">
        <f>E418*C418</f>
        <v>90000</v>
      </c>
      <c r="G418" s="343"/>
      <c r="H418" s="97"/>
    </row>
    <row r="419" spans="1:8" x14ac:dyDescent="0.25">
      <c r="A419" s="348" t="s">
        <v>2105</v>
      </c>
      <c r="B419" s="984" t="s">
        <v>2106</v>
      </c>
      <c r="C419" s="321"/>
      <c r="D419" s="322"/>
      <c r="E419" s="337"/>
      <c r="F419" s="699"/>
      <c r="G419" s="343"/>
      <c r="H419" s="97"/>
    </row>
    <row r="420" spans="1:8" x14ac:dyDescent="0.25">
      <c r="A420" s="672"/>
      <c r="B420" s="329" t="s">
        <v>451</v>
      </c>
      <c r="C420" s="321">
        <v>1</v>
      </c>
      <c r="D420" s="322" t="s">
        <v>95</v>
      </c>
      <c r="E420" s="337">
        <v>50000</v>
      </c>
      <c r="F420" s="699">
        <f>E420*C420</f>
        <v>50000</v>
      </c>
      <c r="G420" s="343"/>
      <c r="H420" s="97"/>
    </row>
    <row r="421" spans="1:8" x14ac:dyDescent="0.25">
      <c r="A421" s="672"/>
      <c r="B421" s="329" t="s">
        <v>285</v>
      </c>
      <c r="C421" s="321">
        <v>5</v>
      </c>
      <c r="D421" s="322" t="s">
        <v>165</v>
      </c>
      <c r="E421" s="337">
        <v>1000</v>
      </c>
      <c r="F421" s="699">
        <f>E421*C421</f>
        <v>5000</v>
      </c>
      <c r="G421" s="343"/>
      <c r="H421" s="97"/>
    </row>
    <row r="422" spans="1:8" x14ac:dyDescent="0.25">
      <c r="A422" s="672"/>
      <c r="B422" s="329" t="s">
        <v>299</v>
      </c>
      <c r="C422" s="321">
        <v>1</v>
      </c>
      <c r="D422" s="322" t="s">
        <v>300</v>
      </c>
      <c r="E422" s="337">
        <v>10000</v>
      </c>
      <c r="F422" s="699">
        <f>E422*C422</f>
        <v>10000</v>
      </c>
      <c r="G422" s="343"/>
      <c r="H422" s="97"/>
    </row>
    <row r="423" spans="1:8" x14ac:dyDescent="0.25">
      <c r="A423" s="348" t="s">
        <v>1526</v>
      </c>
      <c r="B423" s="984" t="s">
        <v>304</v>
      </c>
      <c r="C423" s="321"/>
      <c r="D423" s="322"/>
      <c r="E423" s="334"/>
      <c r="F423" s="699"/>
      <c r="G423" s="343"/>
      <c r="H423" s="97"/>
    </row>
    <row r="424" spans="1:8" ht="42.75" x14ac:dyDescent="0.25">
      <c r="A424" s="348" t="s">
        <v>2107</v>
      </c>
      <c r="B424" s="946" t="s">
        <v>517</v>
      </c>
      <c r="C424" s="321"/>
      <c r="D424" s="322"/>
      <c r="E424" s="334"/>
      <c r="F424" s="699"/>
      <c r="G424" s="343"/>
      <c r="H424" s="97"/>
    </row>
    <row r="425" spans="1:8" x14ac:dyDescent="0.25">
      <c r="A425" s="672"/>
      <c r="B425" s="329" t="s">
        <v>429</v>
      </c>
      <c r="C425" s="321">
        <v>1</v>
      </c>
      <c r="D425" s="322" t="s">
        <v>279</v>
      </c>
      <c r="E425" s="334">
        <v>300000</v>
      </c>
      <c r="F425" s="699">
        <f>E425*C425</f>
        <v>300000</v>
      </c>
      <c r="G425" s="343"/>
      <c r="H425" s="97"/>
    </row>
    <row r="426" spans="1:8" x14ac:dyDescent="0.25">
      <c r="A426" s="672"/>
      <c r="B426" s="329" t="s">
        <v>535</v>
      </c>
      <c r="C426" s="321">
        <v>1</v>
      </c>
      <c r="D426" s="322" t="s">
        <v>279</v>
      </c>
      <c r="E426" s="334">
        <v>250000</v>
      </c>
      <c r="F426" s="699">
        <f>E426*C426</f>
        <v>250000</v>
      </c>
      <c r="G426" s="343"/>
      <c r="H426" s="97"/>
    </row>
    <row r="427" spans="1:8" x14ac:dyDescent="0.25">
      <c r="A427" s="672"/>
      <c r="B427" s="329" t="s">
        <v>518</v>
      </c>
      <c r="C427" s="321">
        <v>1</v>
      </c>
      <c r="D427" s="322" t="s">
        <v>279</v>
      </c>
      <c r="E427" s="334">
        <v>200000</v>
      </c>
      <c r="F427" s="699">
        <f>E427*C427</f>
        <v>200000</v>
      </c>
      <c r="G427" s="343"/>
      <c r="H427" s="97"/>
    </row>
    <row r="428" spans="1:8" ht="30.75" customHeight="1" x14ac:dyDescent="0.25">
      <c r="A428" s="348" t="s">
        <v>1527</v>
      </c>
      <c r="B428" s="946" t="s">
        <v>1895</v>
      </c>
      <c r="C428" s="321"/>
      <c r="D428" s="322"/>
      <c r="E428" s="928"/>
      <c r="F428" s="980"/>
      <c r="G428" s="934"/>
      <c r="H428" s="97"/>
    </row>
    <row r="429" spans="1:8" x14ac:dyDescent="0.25">
      <c r="A429" s="672"/>
      <c r="B429" s="329" t="s">
        <v>2108</v>
      </c>
      <c r="C429" s="321">
        <v>2</v>
      </c>
      <c r="D429" s="322" t="s">
        <v>279</v>
      </c>
      <c r="E429" s="928">
        <v>300000</v>
      </c>
      <c r="F429" s="980">
        <f>E429*C429</f>
        <v>600000</v>
      </c>
      <c r="G429" s="934"/>
      <c r="H429" s="97"/>
    </row>
    <row r="430" spans="1:8" ht="30" customHeight="1" x14ac:dyDescent="0.25">
      <c r="A430" s="348" t="s">
        <v>2109</v>
      </c>
      <c r="B430" s="946" t="s">
        <v>2110</v>
      </c>
      <c r="C430" s="321"/>
      <c r="D430" s="322"/>
      <c r="E430" s="928"/>
      <c r="F430" s="980"/>
      <c r="G430" s="934"/>
      <c r="H430" s="97"/>
    </row>
    <row r="431" spans="1:8" ht="15.75" customHeight="1" x14ac:dyDescent="0.25">
      <c r="A431" s="348" t="s">
        <v>2111</v>
      </c>
      <c r="B431" s="991" t="s">
        <v>2112</v>
      </c>
      <c r="C431" s="321"/>
      <c r="D431" s="322"/>
      <c r="E431" s="928"/>
      <c r="F431" s="980"/>
      <c r="G431" s="934"/>
      <c r="H431" s="97"/>
    </row>
    <row r="432" spans="1:8" x14ac:dyDescent="0.25">
      <c r="A432" s="343"/>
      <c r="B432" s="986" t="s">
        <v>2143</v>
      </c>
      <c r="C432" s="321"/>
      <c r="D432" s="322"/>
      <c r="E432" s="928"/>
      <c r="F432" s="980"/>
      <c r="G432" s="934"/>
      <c r="H432" s="97"/>
    </row>
    <row r="433" spans="1:8" x14ac:dyDescent="0.25">
      <c r="A433" s="343"/>
      <c r="B433" s="329" t="s">
        <v>2144</v>
      </c>
      <c r="C433" s="321">
        <v>5</v>
      </c>
      <c r="D433" s="322" t="s">
        <v>2127</v>
      </c>
      <c r="E433" s="928">
        <v>5000</v>
      </c>
      <c r="F433" s="702">
        <f t="shared" ref="F433:F455" si="4">C433*E433</f>
        <v>25000</v>
      </c>
      <c r="G433" s="934"/>
      <c r="H433" s="97"/>
    </row>
    <row r="434" spans="1:8" x14ac:dyDescent="0.25">
      <c r="A434" s="343"/>
      <c r="B434" s="329" t="s">
        <v>2145</v>
      </c>
      <c r="C434" s="321">
        <v>2</v>
      </c>
      <c r="D434" s="322" t="s">
        <v>2146</v>
      </c>
      <c r="E434" s="928">
        <v>107000</v>
      </c>
      <c r="F434" s="702">
        <f t="shared" si="4"/>
        <v>214000</v>
      </c>
      <c r="G434" s="934"/>
      <c r="H434" s="97"/>
    </row>
    <row r="435" spans="1:8" x14ac:dyDescent="0.25">
      <c r="A435" s="343"/>
      <c r="B435" s="329" t="s">
        <v>2147</v>
      </c>
      <c r="C435" s="321">
        <v>2</v>
      </c>
      <c r="D435" s="322" t="s">
        <v>2146</v>
      </c>
      <c r="E435" s="928">
        <v>20000</v>
      </c>
      <c r="F435" s="702">
        <f t="shared" si="4"/>
        <v>40000</v>
      </c>
      <c r="G435" s="934"/>
      <c r="H435" s="97"/>
    </row>
    <row r="436" spans="1:8" x14ac:dyDescent="0.25">
      <c r="A436" s="343"/>
      <c r="B436" s="329" t="s">
        <v>2148</v>
      </c>
      <c r="C436" s="321">
        <v>6</v>
      </c>
      <c r="D436" s="322" t="s">
        <v>92</v>
      </c>
      <c r="E436" s="928">
        <v>10000</v>
      </c>
      <c r="F436" s="702">
        <f t="shared" si="4"/>
        <v>60000</v>
      </c>
      <c r="G436" s="934"/>
      <c r="H436" s="97"/>
    </row>
    <row r="437" spans="1:8" x14ac:dyDescent="0.25">
      <c r="A437" s="343"/>
      <c r="B437" s="329" t="s">
        <v>2149</v>
      </c>
      <c r="C437" s="321">
        <v>6</v>
      </c>
      <c r="D437" s="322" t="s">
        <v>2128</v>
      </c>
      <c r="E437" s="928">
        <v>7000</v>
      </c>
      <c r="F437" s="702">
        <f t="shared" si="4"/>
        <v>42000</v>
      </c>
      <c r="G437" s="934"/>
      <c r="H437" s="97"/>
    </row>
    <row r="438" spans="1:8" x14ac:dyDescent="0.25">
      <c r="A438" s="343"/>
      <c r="B438" s="329" t="s">
        <v>2150</v>
      </c>
      <c r="C438" s="321">
        <v>3</v>
      </c>
      <c r="D438" s="322" t="s">
        <v>2128</v>
      </c>
      <c r="E438" s="928">
        <v>5000</v>
      </c>
      <c r="F438" s="702">
        <f t="shared" si="4"/>
        <v>15000</v>
      </c>
      <c r="G438" s="934"/>
      <c r="H438" s="97"/>
    </row>
    <row r="439" spans="1:8" x14ac:dyDescent="0.25">
      <c r="A439" s="343"/>
      <c r="B439" s="329" t="s">
        <v>2151</v>
      </c>
      <c r="C439" s="321">
        <v>1</v>
      </c>
      <c r="D439" s="322" t="s">
        <v>300</v>
      </c>
      <c r="E439" s="928">
        <v>10000</v>
      </c>
      <c r="F439" s="702">
        <f t="shared" si="4"/>
        <v>10000</v>
      </c>
      <c r="G439" s="934"/>
      <c r="H439" s="97"/>
    </row>
    <row r="440" spans="1:8" x14ac:dyDescent="0.25">
      <c r="A440" s="343"/>
      <c r="B440" s="329" t="s">
        <v>2152</v>
      </c>
      <c r="C440" s="321">
        <v>1</v>
      </c>
      <c r="D440" s="322" t="s">
        <v>300</v>
      </c>
      <c r="E440" s="928">
        <v>10000</v>
      </c>
      <c r="F440" s="702">
        <f t="shared" si="4"/>
        <v>10000</v>
      </c>
      <c r="G440" s="934"/>
      <c r="H440" s="97"/>
    </row>
    <row r="441" spans="1:8" x14ac:dyDescent="0.25">
      <c r="A441" s="343"/>
      <c r="B441" s="329" t="s">
        <v>2153</v>
      </c>
      <c r="C441" s="321">
        <v>1</v>
      </c>
      <c r="D441" s="322" t="s">
        <v>300</v>
      </c>
      <c r="E441" s="928">
        <v>10000</v>
      </c>
      <c r="F441" s="702">
        <f t="shared" si="4"/>
        <v>10000</v>
      </c>
      <c r="G441" s="934"/>
      <c r="H441" s="97"/>
    </row>
    <row r="442" spans="1:8" x14ac:dyDescent="0.25">
      <c r="A442" s="343"/>
      <c r="B442" s="329" t="s">
        <v>2154</v>
      </c>
      <c r="C442" s="321">
        <v>3</v>
      </c>
      <c r="D442" s="322" t="s">
        <v>92</v>
      </c>
      <c r="E442" s="928">
        <v>10000</v>
      </c>
      <c r="F442" s="702">
        <f t="shared" si="4"/>
        <v>30000</v>
      </c>
      <c r="G442" s="934"/>
      <c r="H442" s="97"/>
    </row>
    <row r="443" spans="1:8" x14ac:dyDescent="0.25">
      <c r="A443" s="343"/>
      <c r="B443" s="329" t="s">
        <v>2155</v>
      </c>
      <c r="C443" s="345">
        <v>2</v>
      </c>
      <c r="D443" s="344" t="s">
        <v>92</v>
      </c>
      <c r="E443" s="337">
        <v>10000</v>
      </c>
      <c r="F443" s="702">
        <f t="shared" si="4"/>
        <v>20000</v>
      </c>
      <c r="G443" s="934"/>
      <c r="H443" s="97"/>
    </row>
    <row r="444" spans="1:8" x14ac:dyDescent="0.25">
      <c r="A444" s="343"/>
      <c r="B444" s="329" t="s">
        <v>2156</v>
      </c>
      <c r="C444" s="345">
        <v>1</v>
      </c>
      <c r="D444" s="988" t="s">
        <v>300</v>
      </c>
      <c r="E444" s="337">
        <v>10000</v>
      </c>
      <c r="F444" s="702">
        <f t="shared" si="4"/>
        <v>10000</v>
      </c>
      <c r="G444" s="934"/>
      <c r="H444" s="97"/>
    </row>
    <row r="445" spans="1:8" x14ac:dyDescent="0.25">
      <c r="A445" s="343"/>
      <c r="B445" s="329" t="s">
        <v>2157</v>
      </c>
      <c r="C445" s="345">
        <v>50</v>
      </c>
      <c r="D445" s="322" t="s">
        <v>92</v>
      </c>
      <c r="E445" s="337">
        <v>3000</v>
      </c>
      <c r="F445" s="702">
        <f t="shared" si="4"/>
        <v>150000</v>
      </c>
      <c r="G445" s="934"/>
      <c r="H445" s="97"/>
    </row>
    <row r="446" spans="1:8" x14ac:dyDescent="0.25">
      <c r="A446" s="343"/>
      <c r="B446" s="329" t="s">
        <v>2158</v>
      </c>
      <c r="C446" s="345">
        <v>5</v>
      </c>
      <c r="D446" s="322" t="s">
        <v>92</v>
      </c>
      <c r="E446" s="337">
        <v>3000</v>
      </c>
      <c r="F446" s="702">
        <f t="shared" si="4"/>
        <v>15000</v>
      </c>
      <c r="G446" s="934"/>
      <c r="H446" s="97"/>
    </row>
    <row r="447" spans="1:8" x14ac:dyDescent="0.25">
      <c r="A447" s="343"/>
      <c r="B447" s="329" t="s">
        <v>2159</v>
      </c>
      <c r="C447" s="345">
        <v>2</v>
      </c>
      <c r="D447" s="322" t="s">
        <v>92</v>
      </c>
      <c r="E447" s="337">
        <v>57500</v>
      </c>
      <c r="F447" s="702">
        <f t="shared" si="4"/>
        <v>115000</v>
      </c>
      <c r="G447" s="934"/>
      <c r="H447" s="97"/>
    </row>
    <row r="448" spans="1:8" x14ac:dyDescent="0.25">
      <c r="A448" s="343"/>
      <c r="B448" s="329" t="s">
        <v>2160</v>
      </c>
      <c r="C448" s="345">
        <v>75</v>
      </c>
      <c r="D448" s="322" t="s">
        <v>2161</v>
      </c>
      <c r="E448" s="337">
        <v>3000</v>
      </c>
      <c r="F448" s="702">
        <f t="shared" si="4"/>
        <v>225000</v>
      </c>
      <c r="G448" s="934"/>
      <c r="H448" s="97"/>
    </row>
    <row r="449" spans="1:12" x14ac:dyDescent="0.25">
      <c r="A449" s="343"/>
      <c r="B449" s="329" t="s">
        <v>2162</v>
      </c>
      <c r="C449" s="345">
        <v>5</v>
      </c>
      <c r="D449" s="322" t="s">
        <v>159</v>
      </c>
      <c r="E449" s="337">
        <v>40000</v>
      </c>
      <c r="F449" s="702">
        <f t="shared" si="4"/>
        <v>200000</v>
      </c>
      <c r="G449" s="934"/>
      <c r="H449" s="97"/>
    </row>
    <row r="450" spans="1:12" x14ac:dyDescent="0.25">
      <c r="A450" s="343"/>
      <c r="B450" s="329" t="s">
        <v>2163</v>
      </c>
      <c r="C450" s="345">
        <v>10</v>
      </c>
      <c r="D450" s="322" t="s">
        <v>2161</v>
      </c>
      <c r="E450" s="337">
        <v>4000</v>
      </c>
      <c r="F450" s="702">
        <f t="shared" si="4"/>
        <v>40000</v>
      </c>
      <c r="G450" s="934"/>
      <c r="H450" s="97"/>
    </row>
    <row r="451" spans="1:12" x14ac:dyDescent="0.25">
      <c r="A451" s="343"/>
      <c r="B451" s="329" t="s">
        <v>2164</v>
      </c>
      <c r="C451" s="345">
        <v>50</v>
      </c>
      <c r="D451" s="322" t="s">
        <v>2161</v>
      </c>
      <c r="E451" s="337">
        <v>1500</v>
      </c>
      <c r="F451" s="702">
        <f t="shared" si="4"/>
        <v>75000</v>
      </c>
      <c r="G451" s="934"/>
      <c r="H451" s="97"/>
    </row>
    <row r="452" spans="1:12" x14ac:dyDescent="0.25">
      <c r="A452" s="343"/>
      <c r="B452" s="329" t="s">
        <v>2165</v>
      </c>
      <c r="C452" s="345">
        <v>4</v>
      </c>
      <c r="D452" s="322" t="s">
        <v>92</v>
      </c>
      <c r="E452" s="337">
        <v>30000</v>
      </c>
      <c r="F452" s="702">
        <f t="shared" si="4"/>
        <v>120000</v>
      </c>
      <c r="G452" s="934"/>
      <c r="H452" s="97"/>
    </row>
    <row r="453" spans="1:12" x14ac:dyDescent="0.25">
      <c r="A453" s="343"/>
      <c r="B453" s="329" t="s">
        <v>2166</v>
      </c>
      <c r="C453" s="345">
        <v>2</v>
      </c>
      <c r="D453" s="322" t="s">
        <v>92</v>
      </c>
      <c r="E453" s="337">
        <v>25000</v>
      </c>
      <c r="F453" s="702">
        <f t="shared" si="4"/>
        <v>50000</v>
      </c>
      <c r="G453" s="934"/>
      <c r="H453" s="97"/>
    </row>
    <row r="454" spans="1:12" x14ac:dyDescent="0.25">
      <c r="A454" s="343"/>
      <c r="B454" s="329" t="s">
        <v>2167</v>
      </c>
      <c r="C454" s="345">
        <v>1</v>
      </c>
      <c r="D454" s="322" t="s">
        <v>92</v>
      </c>
      <c r="E454" s="337">
        <v>25000</v>
      </c>
      <c r="F454" s="702">
        <f t="shared" si="4"/>
        <v>25000</v>
      </c>
      <c r="G454" s="934"/>
      <c r="H454" s="97"/>
    </row>
    <row r="455" spans="1:12" x14ac:dyDescent="0.25">
      <c r="A455" s="343"/>
      <c r="B455" s="329" t="s">
        <v>2168</v>
      </c>
      <c r="C455" s="345">
        <v>3</v>
      </c>
      <c r="D455" s="322" t="s">
        <v>92</v>
      </c>
      <c r="E455" s="337">
        <v>125000</v>
      </c>
      <c r="F455" s="702">
        <f t="shared" si="4"/>
        <v>375000</v>
      </c>
      <c r="G455" s="934"/>
      <c r="H455" s="97"/>
    </row>
    <row r="456" spans="1:12" x14ac:dyDescent="0.25">
      <c r="A456" s="343"/>
      <c r="B456" s="329" t="s">
        <v>2169</v>
      </c>
      <c r="C456" s="345">
        <v>4</v>
      </c>
      <c r="D456" s="322" t="s">
        <v>92</v>
      </c>
      <c r="E456" s="337">
        <v>50000</v>
      </c>
      <c r="F456" s="702">
        <f>C456*E456</f>
        <v>200000</v>
      </c>
      <c r="G456" s="934"/>
      <c r="H456" s="97"/>
    </row>
    <row r="457" spans="1:12" x14ac:dyDescent="0.25">
      <c r="A457" s="343"/>
      <c r="B457" s="329"/>
      <c r="C457" s="345"/>
      <c r="D457" s="988"/>
      <c r="E457" s="337"/>
      <c r="F457" s="702"/>
      <c r="G457" s="934"/>
      <c r="H457" s="97"/>
    </row>
    <row r="458" spans="1:12" x14ac:dyDescent="0.25">
      <c r="A458" s="2026" t="s">
        <v>26</v>
      </c>
      <c r="B458" s="2026"/>
      <c r="C458" s="2026"/>
      <c r="D458" s="2026"/>
      <c r="E458" s="2026"/>
      <c r="F458" s="989">
        <f>SUM(F416:F456)</f>
        <v>4181000</v>
      </c>
      <c r="G458" s="314" t="s">
        <v>1711</v>
      </c>
      <c r="H458" s="97"/>
      <c r="L458" s="32">
        <f>F458</f>
        <v>4181000</v>
      </c>
    </row>
    <row r="459" spans="1:12" s="444" customFormat="1" ht="12" x14ac:dyDescent="0.2">
      <c r="A459" s="1762" t="s">
        <v>549</v>
      </c>
      <c r="B459" s="1762"/>
      <c r="C459" s="188" t="s">
        <v>27</v>
      </c>
      <c r="D459" s="1763" t="s">
        <v>1429</v>
      </c>
      <c r="E459" s="1763"/>
      <c r="F459" s="1763"/>
      <c r="G459" s="188"/>
    </row>
    <row r="460" spans="1:12" s="444" customFormat="1" ht="12" x14ac:dyDescent="0.2">
      <c r="A460" s="1762" t="s">
        <v>28</v>
      </c>
      <c r="B460" s="1762"/>
      <c r="C460" s="188"/>
      <c r="D460" s="1764" t="s">
        <v>2834</v>
      </c>
      <c r="E460" s="1764"/>
      <c r="F460" s="1764"/>
      <c r="G460" s="188"/>
    </row>
    <row r="461" spans="1:12" s="444" customFormat="1" ht="12" x14ac:dyDescent="0.2">
      <c r="A461" s="186"/>
      <c r="B461" s="187"/>
      <c r="C461" s="188"/>
      <c r="D461" s="189"/>
      <c r="E461" s="218"/>
      <c r="F461" s="218"/>
      <c r="G461" s="188"/>
    </row>
    <row r="462" spans="1:12" s="444" customFormat="1" ht="12" x14ac:dyDescent="0.2">
      <c r="A462" s="186"/>
      <c r="B462" s="187"/>
      <c r="C462" s="188"/>
      <c r="D462" s="189"/>
      <c r="E462" s="218"/>
      <c r="F462" s="218"/>
      <c r="G462" s="188"/>
    </row>
    <row r="463" spans="1:12" s="444" customFormat="1" ht="12" x14ac:dyDescent="0.2">
      <c r="A463" s="1762"/>
      <c r="B463" s="1762"/>
      <c r="C463" s="188"/>
      <c r="D463" s="189"/>
      <c r="E463" s="1762"/>
      <c r="F463" s="1762"/>
      <c r="G463" s="188"/>
    </row>
    <row r="464" spans="1:12" s="444" customFormat="1" ht="12" x14ac:dyDescent="0.2">
      <c r="A464" s="1762" t="s">
        <v>29</v>
      </c>
      <c r="B464" s="1762"/>
      <c r="C464" s="188"/>
      <c r="D464" s="1762" t="s">
        <v>2993</v>
      </c>
      <c r="E464" s="1762"/>
      <c r="F464" s="1762"/>
      <c r="G464" s="188"/>
    </row>
    <row r="465" spans="1:7" x14ac:dyDescent="0.25">
      <c r="A465" s="1765" t="s">
        <v>0</v>
      </c>
      <c r="B465" s="1765"/>
      <c r="C465" s="1765"/>
      <c r="D465" s="1765"/>
      <c r="E465" s="1765"/>
      <c r="F465" s="1765"/>
      <c r="G465" s="1765"/>
    </row>
    <row r="466" spans="1:7" x14ac:dyDescent="0.25">
      <c r="A466" s="1765" t="s">
        <v>1</v>
      </c>
      <c r="B466" s="1765"/>
      <c r="C466" s="1765"/>
      <c r="D466" s="1765"/>
      <c r="E466" s="1765"/>
      <c r="F466" s="1765"/>
      <c r="G466" s="1765"/>
    </row>
    <row r="467" spans="1:7" x14ac:dyDescent="0.25">
      <c r="A467" s="1765" t="s">
        <v>1769</v>
      </c>
      <c r="B467" s="1765"/>
      <c r="C467" s="1765"/>
      <c r="D467" s="1765"/>
      <c r="E467" s="1765"/>
      <c r="F467" s="1765"/>
      <c r="G467" s="1765"/>
    </row>
    <row r="468" spans="1:7" x14ac:dyDescent="0.25">
      <c r="A468" s="184"/>
      <c r="B468" s="184"/>
      <c r="C468" s="184"/>
      <c r="D468" s="184"/>
      <c r="E468" s="184"/>
      <c r="F468" s="184"/>
      <c r="G468" s="581"/>
    </row>
    <row r="469" spans="1:7" x14ac:dyDescent="0.25">
      <c r="A469" s="749" t="s">
        <v>491</v>
      </c>
      <c r="B469" s="749" t="s">
        <v>911</v>
      </c>
      <c r="C469" s="749"/>
      <c r="D469" s="218"/>
      <c r="E469" s="188"/>
      <c r="F469" s="218"/>
      <c r="G469" s="5"/>
    </row>
    <row r="470" spans="1:7" ht="38.25" x14ac:dyDescent="0.25">
      <c r="A470" s="750" t="s">
        <v>921</v>
      </c>
      <c r="B470" s="225" t="s">
        <v>1964</v>
      </c>
      <c r="C470" s="225"/>
      <c r="D470" s="220"/>
      <c r="E470" s="190" t="s">
        <v>6</v>
      </c>
      <c r="F470" s="190"/>
      <c r="G470" s="5"/>
    </row>
    <row r="471" spans="1:7" ht="38.25" x14ac:dyDescent="0.25">
      <c r="A471" s="750" t="s">
        <v>923</v>
      </c>
      <c r="B471" s="751" t="s">
        <v>1965</v>
      </c>
      <c r="C471" s="751"/>
      <c r="D471" s="220"/>
      <c r="E471" s="558" t="s">
        <v>9</v>
      </c>
      <c r="F471" s="558"/>
      <c r="G471" s="5"/>
    </row>
    <row r="472" spans="1:7" x14ac:dyDescent="0.25">
      <c r="A472" s="226" t="s">
        <v>60</v>
      </c>
      <c r="B472" s="226" t="s">
        <v>61</v>
      </c>
      <c r="C472" s="226"/>
      <c r="D472" s="188"/>
      <c r="E472" s="188"/>
      <c r="F472" s="188"/>
      <c r="G472" s="5"/>
    </row>
    <row r="473" spans="1:7" x14ac:dyDescent="0.25">
      <c r="A473" s="226" t="s">
        <v>62</v>
      </c>
      <c r="B473" s="226" t="s">
        <v>461</v>
      </c>
      <c r="C473" s="226"/>
      <c r="D473" s="1763"/>
      <c r="E473" s="1763"/>
      <c r="F473" s="188"/>
      <c r="G473" s="5"/>
    </row>
    <row r="474" spans="1:7" x14ac:dyDescent="0.25">
      <c r="A474" s="187"/>
      <c r="B474" s="187"/>
      <c r="C474" s="187"/>
      <c r="D474" s="187"/>
      <c r="E474" s="187"/>
      <c r="F474" s="187"/>
      <c r="G474" s="5"/>
    </row>
    <row r="475" spans="1:7" ht="24" x14ac:dyDescent="0.25">
      <c r="A475" s="198" t="s">
        <v>265</v>
      </c>
      <c r="B475" s="198" t="s">
        <v>11</v>
      </c>
      <c r="C475" s="1766" t="s">
        <v>12</v>
      </c>
      <c r="D475" s="1766"/>
      <c r="E475" s="267" t="s">
        <v>13</v>
      </c>
      <c r="F475" s="268" t="s">
        <v>14</v>
      </c>
      <c r="G475" s="38" t="s">
        <v>266</v>
      </c>
    </row>
    <row r="476" spans="1:7" x14ac:dyDescent="0.25">
      <c r="A476" s="198">
        <v>1</v>
      </c>
      <c r="B476" s="198">
        <v>2</v>
      </c>
      <c r="C476" s="1767">
        <v>3</v>
      </c>
      <c r="D476" s="1768"/>
      <c r="E476" s="269">
        <v>4</v>
      </c>
      <c r="F476" s="268">
        <v>5</v>
      </c>
      <c r="G476" s="39">
        <v>6</v>
      </c>
    </row>
    <row r="477" spans="1:7" x14ac:dyDescent="0.25">
      <c r="A477" s="919" t="s">
        <v>1966</v>
      </c>
      <c r="B477" s="992" t="s">
        <v>495</v>
      </c>
      <c r="C477" s="271"/>
      <c r="D477" s="272"/>
      <c r="E477" s="993"/>
      <c r="F477" s="273"/>
      <c r="G477" s="4"/>
    </row>
    <row r="478" spans="1:7" x14ac:dyDescent="0.25">
      <c r="A478" s="919" t="s">
        <v>1967</v>
      </c>
      <c r="B478" s="992" t="s">
        <v>86</v>
      </c>
      <c r="C478" s="271"/>
      <c r="D478" s="272"/>
      <c r="E478" s="993"/>
      <c r="F478" s="273"/>
      <c r="G478" s="4"/>
    </row>
    <row r="479" spans="1:7" x14ac:dyDescent="0.25">
      <c r="A479" s="919"/>
      <c r="B479" s="992" t="s">
        <v>1968</v>
      </c>
      <c r="C479" s="271"/>
      <c r="D479" s="272"/>
      <c r="E479" s="993"/>
      <c r="F479" s="273"/>
      <c r="G479" s="4"/>
    </row>
    <row r="480" spans="1:7" x14ac:dyDescent="0.25">
      <c r="A480" s="919"/>
      <c r="B480" s="657" t="s">
        <v>1772</v>
      </c>
      <c r="C480" s="291">
        <v>5</v>
      </c>
      <c r="D480" s="994" t="s">
        <v>92</v>
      </c>
      <c r="E480" s="914">
        <v>27000</v>
      </c>
      <c r="F480" s="780">
        <f t="shared" ref="F480:F485" si="5">E480*C480</f>
        <v>135000</v>
      </c>
      <c r="G480" s="4"/>
    </row>
    <row r="481" spans="1:7" x14ac:dyDescent="0.25">
      <c r="A481" s="919"/>
      <c r="B481" s="904" t="s">
        <v>1962</v>
      </c>
      <c r="C481" s="291">
        <v>5</v>
      </c>
      <c r="D481" s="994" t="s">
        <v>92</v>
      </c>
      <c r="E481" s="914">
        <v>5200</v>
      </c>
      <c r="F481" s="780">
        <f t="shared" si="5"/>
        <v>26000</v>
      </c>
      <c r="G481" s="4"/>
    </row>
    <row r="482" spans="1:7" x14ac:dyDescent="0.25">
      <c r="A482" s="919"/>
      <c r="B482" s="904" t="s">
        <v>2802</v>
      </c>
      <c r="C482" s="291">
        <v>10</v>
      </c>
      <c r="D482" s="994" t="s">
        <v>92</v>
      </c>
      <c r="E482" s="914">
        <v>3600</v>
      </c>
      <c r="F482" s="780">
        <f t="shared" si="5"/>
        <v>36000</v>
      </c>
      <c r="G482" s="4"/>
    </row>
    <row r="483" spans="1:7" x14ac:dyDescent="0.25">
      <c r="A483" s="919"/>
      <c r="B483" s="904" t="s">
        <v>1773</v>
      </c>
      <c r="C483" s="291">
        <v>3</v>
      </c>
      <c r="D483" s="994" t="s">
        <v>92</v>
      </c>
      <c r="E483" s="914">
        <v>8800</v>
      </c>
      <c r="F483" s="780">
        <f t="shared" si="5"/>
        <v>26400</v>
      </c>
      <c r="G483" s="4"/>
    </row>
    <row r="484" spans="1:7" x14ac:dyDescent="0.25">
      <c r="A484" s="919"/>
      <c r="B484" s="904" t="s">
        <v>1963</v>
      </c>
      <c r="C484" s="291">
        <v>2</v>
      </c>
      <c r="D484" s="994" t="s">
        <v>92</v>
      </c>
      <c r="E484" s="914">
        <v>26000</v>
      </c>
      <c r="F484" s="780">
        <f t="shared" si="5"/>
        <v>52000</v>
      </c>
      <c r="G484" s="4"/>
    </row>
    <row r="485" spans="1:7" x14ac:dyDescent="0.25">
      <c r="A485" s="919"/>
      <c r="B485" s="904" t="s">
        <v>2872</v>
      </c>
      <c r="C485" s="291">
        <v>2</v>
      </c>
      <c r="D485" s="994" t="s">
        <v>92</v>
      </c>
      <c r="E485" s="914">
        <v>10000</v>
      </c>
      <c r="F485" s="780">
        <f t="shared" si="5"/>
        <v>20000</v>
      </c>
      <c r="G485" s="4"/>
    </row>
    <row r="486" spans="1:7" ht="26.25" x14ac:dyDescent="0.25">
      <c r="A486" s="281" t="s">
        <v>1969</v>
      </c>
      <c r="B486" s="992" t="s">
        <v>317</v>
      </c>
      <c r="C486" s="282"/>
      <c r="D486" s="995"/>
      <c r="E486" s="803"/>
      <c r="F486" s="287"/>
      <c r="G486" s="4"/>
    </row>
    <row r="487" spans="1:7" x14ac:dyDescent="0.25">
      <c r="A487" s="281"/>
      <c r="B487" s="996" t="s">
        <v>1970</v>
      </c>
      <c r="C487" s="282">
        <v>15</v>
      </c>
      <c r="D487" s="272" t="s">
        <v>407</v>
      </c>
      <c r="E487" s="803">
        <v>15000</v>
      </c>
      <c r="F487" s="287">
        <f>E487*C487</f>
        <v>225000</v>
      </c>
      <c r="G487" s="4"/>
    </row>
    <row r="488" spans="1:7" ht="26.25" x14ac:dyDescent="0.25">
      <c r="A488" s="281" t="s">
        <v>1971</v>
      </c>
      <c r="B488" s="992" t="s">
        <v>337</v>
      </c>
      <c r="C488" s="282"/>
      <c r="D488" s="272"/>
      <c r="E488" s="803"/>
      <c r="F488" s="287"/>
      <c r="G488" s="4"/>
    </row>
    <row r="489" spans="1:7" x14ac:dyDescent="0.25">
      <c r="A489" s="281"/>
      <c r="B489" s="281" t="s">
        <v>338</v>
      </c>
      <c r="C489" s="282">
        <v>1</v>
      </c>
      <c r="D489" s="272" t="s">
        <v>92</v>
      </c>
      <c r="E489" s="803">
        <v>90000</v>
      </c>
      <c r="F489" s="287">
        <f>E489*C489</f>
        <v>90000</v>
      </c>
      <c r="G489" s="4"/>
    </row>
    <row r="490" spans="1:7" x14ac:dyDescent="0.25">
      <c r="A490" s="997" t="s">
        <v>1972</v>
      </c>
      <c r="B490" s="998" t="s">
        <v>1973</v>
      </c>
      <c r="C490" s="291"/>
      <c r="D490" s="994"/>
      <c r="E490" s="999"/>
      <c r="F490" s="780"/>
      <c r="G490" s="4"/>
    </row>
    <row r="491" spans="1:7" ht="26.25" x14ac:dyDescent="0.25">
      <c r="A491" s="807"/>
      <c r="B491" s="1000" t="s">
        <v>2776</v>
      </c>
      <c r="C491" s="1553">
        <v>9</v>
      </c>
      <c r="D491" s="1554" t="s">
        <v>407</v>
      </c>
      <c r="E491" s="999">
        <v>750000</v>
      </c>
      <c r="F491" s="780">
        <f>E491*C491</f>
        <v>6750000</v>
      </c>
      <c r="G491" s="4"/>
    </row>
    <row r="492" spans="1:7" x14ac:dyDescent="0.25">
      <c r="A492" s="281" t="s">
        <v>1974</v>
      </c>
      <c r="B492" s="1001" t="s">
        <v>283</v>
      </c>
      <c r="C492" s="282"/>
      <c r="D492" s="272"/>
      <c r="E492" s="803"/>
      <c r="F492" s="287"/>
      <c r="G492" s="4"/>
    </row>
    <row r="493" spans="1:7" x14ac:dyDescent="0.25">
      <c r="A493" s="281"/>
      <c r="B493" s="281" t="s">
        <v>451</v>
      </c>
      <c r="C493" s="282">
        <v>1</v>
      </c>
      <c r="D493" s="272" t="s">
        <v>92</v>
      </c>
      <c r="E493" s="803">
        <v>50000</v>
      </c>
      <c r="F493" s="287">
        <f>E493*C493</f>
        <v>50000</v>
      </c>
      <c r="G493" s="4"/>
    </row>
    <row r="494" spans="1:7" x14ac:dyDescent="0.25">
      <c r="A494" s="281"/>
      <c r="B494" s="281" t="s">
        <v>285</v>
      </c>
      <c r="C494" s="282">
        <v>5</v>
      </c>
      <c r="D494" s="272" t="s">
        <v>165</v>
      </c>
      <c r="E494" s="803">
        <v>1000</v>
      </c>
      <c r="F494" s="287">
        <f>E494*C494</f>
        <v>5000</v>
      </c>
      <c r="G494" s="4"/>
    </row>
    <row r="495" spans="1:7" x14ac:dyDescent="0.25">
      <c r="A495" s="281"/>
      <c r="B495" s="281" t="s">
        <v>299</v>
      </c>
      <c r="C495" s="282">
        <v>1</v>
      </c>
      <c r="D495" s="272" t="s">
        <v>300</v>
      </c>
      <c r="E495" s="803">
        <v>10000</v>
      </c>
      <c r="F495" s="287">
        <f>E495*C495</f>
        <v>10000</v>
      </c>
      <c r="G495" s="4"/>
    </row>
    <row r="496" spans="1:7" x14ac:dyDescent="0.25">
      <c r="A496" s="281" t="s">
        <v>1975</v>
      </c>
      <c r="B496" s="1001" t="s">
        <v>511</v>
      </c>
      <c r="C496" s="282"/>
      <c r="D496" s="272"/>
      <c r="E496" s="279"/>
      <c r="F496" s="287"/>
      <c r="G496" s="4"/>
    </row>
    <row r="497" spans="1:14" ht="26.25" x14ac:dyDescent="0.25">
      <c r="A497" s="281" t="s">
        <v>1976</v>
      </c>
      <c r="B497" s="992" t="s">
        <v>1977</v>
      </c>
      <c r="C497" s="282"/>
      <c r="D497" s="272"/>
      <c r="E497" s="279"/>
      <c r="F497" s="1002"/>
      <c r="G497" s="4"/>
    </row>
    <row r="498" spans="1:14" x14ac:dyDescent="0.25">
      <c r="A498" s="281"/>
      <c r="B498" s="281" t="s">
        <v>1978</v>
      </c>
      <c r="C498" s="282">
        <v>2</v>
      </c>
      <c r="D498" s="272" t="s">
        <v>1888</v>
      </c>
      <c r="E498" s="279">
        <v>300000</v>
      </c>
      <c r="F498" s="1002">
        <f>E498*C498</f>
        <v>600000</v>
      </c>
      <c r="G498" s="4"/>
    </row>
    <row r="499" spans="1:14" x14ac:dyDescent="0.25">
      <c r="A499" s="919" t="s">
        <v>1979</v>
      </c>
      <c r="B499" s="778" t="s">
        <v>471</v>
      </c>
      <c r="C499" s="282"/>
      <c r="D499" s="272"/>
      <c r="E499" s="920"/>
      <c r="F499" s="780"/>
      <c r="G499" s="4"/>
    </row>
    <row r="500" spans="1:14" ht="51" x14ac:dyDescent="0.25">
      <c r="A500" s="919" t="s">
        <v>1980</v>
      </c>
      <c r="B500" s="779" t="s">
        <v>1981</v>
      </c>
      <c r="C500" s="271">
        <v>30</v>
      </c>
      <c r="D500" s="272" t="s">
        <v>1892</v>
      </c>
      <c r="E500" s="780">
        <v>500000</v>
      </c>
      <c r="F500" s="780">
        <f>E500*C500</f>
        <v>15000000</v>
      </c>
      <c r="G500" s="4"/>
    </row>
    <row r="501" spans="1:14" x14ac:dyDescent="0.25">
      <c r="A501" s="807"/>
      <c r="B501" s="1000"/>
      <c r="C501" s="291"/>
      <c r="D501" s="994"/>
      <c r="E501" s="999"/>
      <c r="F501" s="293"/>
      <c r="G501" s="4"/>
    </row>
    <row r="502" spans="1:14" x14ac:dyDescent="0.25">
      <c r="A502" s="277"/>
      <c r="B502" s="1915" t="s">
        <v>26</v>
      </c>
      <c r="C502" s="1915"/>
      <c r="D502" s="1915"/>
      <c r="E502" s="1915"/>
      <c r="F502" s="748">
        <f>SUM(F480:F500)</f>
        <v>23025400</v>
      </c>
      <c r="G502" s="4" t="s">
        <v>1409</v>
      </c>
      <c r="M502" s="32">
        <f>F502</f>
        <v>23025400</v>
      </c>
      <c r="N502" s="32"/>
    </row>
    <row r="503" spans="1:14" s="444" customFormat="1" ht="12" x14ac:dyDescent="0.2">
      <c r="A503" s="1762" t="s">
        <v>549</v>
      </c>
      <c r="B503" s="1762"/>
      <c r="C503" s="188" t="s">
        <v>27</v>
      </c>
      <c r="D503" s="1763" t="s">
        <v>1429</v>
      </c>
      <c r="E503" s="1763"/>
      <c r="F503" s="1763"/>
      <c r="G503" s="188"/>
    </row>
    <row r="504" spans="1:14" s="444" customFormat="1" ht="12" x14ac:dyDescent="0.2">
      <c r="A504" s="1762" t="s">
        <v>28</v>
      </c>
      <c r="B504" s="1762"/>
      <c r="C504" s="188"/>
      <c r="D504" s="1764" t="s">
        <v>2834</v>
      </c>
      <c r="E504" s="1764"/>
      <c r="F504" s="1764"/>
      <c r="G504" s="188"/>
    </row>
    <row r="505" spans="1:14" s="444" customFormat="1" ht="12" x14ac:dyDescent="0.2">
      <c r="A505" s="186"/>
      <c r="B505" s="187"/>
      <c r="C505" s="188"/>
      <c r="D505" s="189"/>
      <c r="E505" s="218"/>
      <c r="F505" s="218"/>
      <c r="G505" s="188"/>
    </row>
    <row r="506" spans="1:14" s="444" customFormat="1" ht="12" x14ac:dyDescent="0.2">
      <c r="A506" s="186"/>
      <c r="B506" s="187"/>
      <c r="C506" s="188"/>
      <c r="D506" s="189"/>
      <c r="E506" s="218"/>
      <c r="F506" s="218"/>
      <c r="G506" s="188"/>
    </row>
    <row r="507" spans="1:14" s="444" customFormat="1" ht="12" x14ac:dyDescent="0.2">
      <c r="A507" s="1762"/>
      <c r="B507" s="1762"/>
      <c r="C507" s="188"/>
      <c r="D507" s="189"/>
      <c r="E507" s="1762"/>
      <c r="F507" s="1762"/>
      <c r="G507" s="188"/>
    </row>
    <row r="508" spans="1:14" s="444" customFormat="1" ht="12" x14ac:dyDescent="0.2">
      <c r="A508" s="1762" t="s">
        <v>29</v>
      </c>
      <c r="B508" s="1762"/>
      <c r="C508" s="188"/>
      <c r="D508" s="1762" t="s">
        <v>2993</v>
      </c>
      <c r="E508" s="1762"/>
      <c r="F508" s="1762"/>
      <c r="G508" s="188"/>
    </row>
    <row r="509" spans="1:14" x14ac:dyDescent="0.25">
      <c r="A509" s="260"/>
      <c r="B509" s="260"/>
      <c r="C509" s="188"/>
      <c r="D509" s="260"/>
      <c r="E509" s="260"/>
      <c r="F509" s="260"/>
      <c r="G509" s="188"/>
    </row>
    <row r="510" spans="1:14" x14ac:dyDescent="0.25">
      <c r="A510" s="1765" t="s">
        <v>0</v>
      </c>
      <c r="B510" s="1765"/>
      <c r="C510" s="1765"/>
      <c r="D510" s="1765"/>
      <c r="E510" s="1765"/>
      <c r="F510" s="1765"/>
      <c r="G510" s="1765"/>
    </row>
    <row r="511" spans="1:14" x14ac:dyDescent="0.25">
      <c r="A511" s="1765" t="s">
        <v>1</v>
      </c>
      <c r="B511" s="1765"/>
      <c r="C511" s="1765"/>
      <c r="D511" s="1765"/>
      <c r="E511" s="1765"/>
      <c r="F511" s="1765"/>
      <c r="G511" s="1765"/>
    </row>
    <row r="512" spans="1:14" x14ac:dyDescent="0.25">
      <c r="A512" s="1765" t="s">
        <v>1769</v>
      </c>
      <c r="B512" s="1765"/>
      <c r="C512" s="1765"/>
      <c r="D512" s="1765"/>
      <c r="E512" s="1765"/>
      <c r="F512" s="1765"/>
      <c r="G512" s="1765"/>
    </row>
    <row r="513" spans="1:7" x14ac:dyDescent="0.25">
      <c r="A513" s="184"/>
      <c r="B513" s="184"/>
      <c r="C513" s="184"/>
      <c r="D513" s="184"/>
      <c r="E513" s="184"/>
      <c r="F513" s="184"/>
      <c r="G513" s="184"/>
    </row>
    <row r="514" spans="1:7" x14ac:dyDescent="0.25">
      <c r="A514" s="263" t="s">
        <v>261</v>
      </c>
      <c r="B514" s="224" t="s">
        <v>441</v>
      </c>
      <c r="C514" s="263"/>
      <c r="D514" s="263"/>
      <c r="E514" s="410"/>
      <c r="F514" s="410"/>
    </row>
    <row r="515" spans="1:7" x14ac:dyDescent="0.25">
      <c r="A515" s="263" t="s">
        <v>262</v>
      </c>
      <c r="B515" s="1003" t="s">
        <v>500</v>
      </c>
      <c r="C515" s="263"/>
      <c r="D515" s="263"/>
      <c r="E515" s="410"/>
      <c r="F515" s="263"/>
    </row>
    <row r="516" spans="1:7" ht="66.75" customHeight="1" x14ac:dyDescent="0.25">
      <c r="A516" s="265" t="s">
        <v>263</v>
      </c>
      <c r="B516" s="265" t="s">
        <v>501</v>
      </c>
      <c r="C516" s="265"/>
      <c r="D516" s="265"/>
      <c r="E516" s="265"/>
      <c r="F516" s="265"/>
    </row>
    <row r="517" spans="1:7" x14ac:dyDescent="0.25">
      <c r="A517" s="226" t="s">
        <v>60</v>
      </c>
      <c r="B517" s="226" t="s">
        <v>61</v>
      </c>
      <c r="C517" s="226"/>
      <c r="D517" s="188"/>
      <c r="E517" s="188"/>
      <c r="F517" s="188"/>
    </row>
    <row r="518" spans="1:7" x14ac:dyDescent="0.25">
      <c r="A518" s="226" t="s">
        <v>62</v>
      </c>
      <c r="B518" s="226" t="s">
        <v>63</v>
      </c>
      <c r="C518" s="226"/>
      <c r="D518" s="1763"/>
      <c r="E518" s="1763"/>
      <c r="F518" s="188"/>
    </row>
    <row r="519" spans="1:7" x14ac:dyDescent="0.25">
      <c r="A519" s="187"/>
      <c r="B519" s="187"/>
      <c r="C519" s="187"/>
      <c r="D519" s="187"/>
      <c r="E519" s="187"/>
      <c r="F519" s="187"/>
    </row>
    <row r="520" spans="1:7" ht="24" x14ac:dyDescent="0.25">
      <c r="A520" s="198" t="s">
        <v>265</v>
      </c>
      <c r="B520" s="198" t="s">
        <v>11</v>
      </c>
      <c r="C520" s="1766" t="s">
        <v>12</v>
      </c>
      <c r="D520" s="1766"/>
      <c r="E520" s="267" t="s">
        <v>13</v>
      </c>
      <c r="F520" s="268" t="s">
        <v>14</v>
      </c>
      <c r="G520" s="34" t="s">
        <v>266</v>
      </c>
    </row>
    <row r="521" spans="1:7" x14ac:dyDescent="0.25">
      <c r="A521" s="198">
        <v>1</v>
      </c>
      <c r="B521" s="198">
        <v>2</v>
      </c>
      <c r="C521" s="1767">
        <v>3</v>
      </c>
      <c r="D521" s="1768"/>
      <c r="E521" s="269">
        <v>4</v>
      </c>
      <c r="F521" s="268">
        <v>5</v>
      </c>
      <c r="G521" s="35">
        <v>6</v>
      </c>
    </row>
    <row r="522" spans="1:7" x14ac:dyDescent="0.25">
      <c r="A522" s="212" t="s">
        <v>504</v>
      </c>
      <c r="B522" s="213" t="s">
        <v>495</v>
      </c>
      <c r="C522" s="205"/>
      <c r="D522" s="206"/>
      <c r="E522" s="447"/>
      <c r="F522" s="205"/>
      <c r="G522" s="222"/>
    </row>
    <row r="523" spans="1:7" x14ac:dyDescent="0.25">
      <c r="A523" s="212" t="s">
        <v>505</v>
      </c>
      <c r="B523" s="213" t="s">
        <v>86</v>
      </c>
      <c r="C523" s="205"/>
      <c r="D523" s="206"/>
      <c r="E523" s="447"/>
      <c r="F523" s="205"/>
      <c r="G523" s="222"/>
    </row>
    <row r="524" spans="1:7" ht="24.75" x14ac:dyDescent="0.25">
      <c r="A524" s="212" t="s">
        <v>506</v>
      </c>
      <c r="B524" s="213" t="s">
        <v>317</v>
      </c>
      <c r="C524" s="214"/>
      <c r="D524" s="244"/>
      <c r="E524" s="215"/>
      <c r="F524" s="449"/>
      <c r="G524" s="222"/>
    </row>
    <row r="525" spans="1:7" x14ac:dyDescent="0.25">
      <c r="A525" s="217"/>
      <c r="B525" s="217" t="s">
        <v>513</v>
      </c>
      <c r="C525" s="214">
        <v>30</v>
      </c>
      <c r="D525" s="244" t="s">
        <v>507</v>
      </c>
      <c r="E525" s="215">
        <v>15000</v>
      </c>
      <c r="F525" s="449">
        <f>E525*C525</f>
        <v>450000</v>
      </c>
      <c r="G525" s="222"/>
    </row>
    <row r="526" spans="1:7" x14ac:dyDescent="0.25">
      <c r="A526" s="217"/>
      <c r="B526" s="217"/>
      <c r="C526" s="214"/>
      <c r="D526" s="244"/>
      <c r="E526" s="215"/>
      <c r="F526" s="449"/>
      <c r="G526" s="222"/>
    </row>
    <row r="527" spans="1:7" ht="24.75" x14ac:dyDescent="0.25">
      <c r="A527" s="212" t="s">
        <v>508</v>
      </c>
      <c r="B527" s="213" t="s">
        <v>337</v>
      </c>
      <c r="C527" s="214"/>
      <c r="D527" s="244"/>
      <c r="E527" s="215"/>
      <c r="F527" s="449"/>
      <c r="G527" s="222"/>
    </row>
    <row r="528" spans="1:7" x14ac:dyDescent="0.25">
      <c r="A528" s="217"/>
      <c r="B528" s="217" t="s">
        <v>338</v>
      </c>
      <c r="C528" s="214">
        <v>1</v>
      </c>
      <c r="D528" s="244" t="s">
        <v>95</v>
      </c>
      <c r="E528" s="215">
        <v>90000</v>
      </c>
      <c r="F528" s="449">
        <f>E528*C528</f>
        <v>90000</v>
      </c>
      <c r="G528" s="222"/>
    </row>
    <row r="529" spans="1:8" x14ac:dyDescent="0.25">
      <c r="A529" s="217"/>
      <c r="B529" s="217"/>
      <c r="C529" s="214"/>
      <c r="D529" s="244"/>
      <c r="E529" s="215"/>
      <c r="F529" s="449"/>
      <c r="G529" s="222"/>
    </row>
    <row r="530" spans="1:8" x14ac:dyDescent="0.25">
      <c r="A530" s="212" t="s">
        <v>509</v>
      </c>
      <c r="B530" s="217" t="s">
        <v>450</v>
      </c>
      <c r="C530" s="214"/>
      <c r="D530" s="244"/>
      <c r="E530" s="215"/>
      <c r="F530" s="449"/>
      <c r="G530" s="222"/>
    </row>
    <row r="531" spans="1:8" x14ac:dyDescent="0.25">
      <c r="A531" s="217"/>
      <c r="B531" s="217" t="s">
        <v>451</v>
      </c>
      <c r="C531" s="214">
        <v>1</v>
      </c>
      <c r="D531" s="407" t="s">
        <v>95</v>
      </c>
      <c r="E531" s="215">
        <v>50000</v>
      </c>
      <c r="F531" s="449">
        <f>E531*C531</f>
        <v>50000</v>
      </c>
      <c r="G531" s="222"/>
    </row>
    <row r="532" spans="1:8" x14ac:dyDescent="0.25">
      <c r="A532" s="217"/>
      <c r="B532" s="217" t="s">
        <v>1184</v>
      </c>
      <c r="C532" s="214">
        <v>5</v>
      </c>
      <c r="D532" s="407" t="s">
        <v>165</v>
      </c>
      <c r="E532" s="215">
        <v>3000</v>
      </c>
      <c r="F532" s="449">
        <f>E532*C532</f>
        <v>15000</v>
      </c>
      <c r="G532" s="222"/>
    </row>
    <row r="533" spans="1:8" x14ac:dyDescent="0.25">
      <c r="A533" s="217"/>
      <c r="B533" s="217"/>
      <c r="C533" s="214"/>
      <c r="D533" s="244"/>
      <c r="E533" s="215"/>
      <c r="F533" s="449"/>
      <c r="G533" s="222"/>
    </row>
    <row r="534" spans="1:8" x14ac:dyDescent="0.25">
      <c r="A534" s="217" t="s">
        <v>510</v>
      </c>
      <c r="B534" s="217" t="s">
        <v>511</v>
      </c>
      <c r="C534" s="214"/>
      <c r="D534" s="244"/>
      <c r="E534" s="230"/>
      <c r="F534" s="449"/>
      <c r="G534" s="222"/>
    </row>
    <row r="535" spans="1:8" ht="24.75" x14ac:dyDescent="0.25">
      <c r="A535" s="217" t="s">
        <v>512</v>
      </c>
      <c r="B535" s="213" t="s">
        <v>439</v>
      </c>
      <c r="C535" s="214"/>
      <c r="D535" s="244"/>
      <c r="E535" s="230"/>
      <c r="F535" s="449"/>
      <c r="G535" s="222"/>
    </row>
    <row r="536" spans="1:8" ht="24.75" x14ac:dyDescent="0.25">
      <c r="A536" s="217"/>
      <c r="B536" s="213" t="s">
        <v>514</v>
      </c>
      <c r="C536" s="214">
        <v>2</v>
      </c>
      <c r="D536" s="244" t="s">
        <v>419</v>
      </c>
      <c r="E536" s="230">
        <v>300000</v>
      </c>
      <c r="F536" s="449">
        <f>E536*C536</f>
        <v>600000</v>
      </c>
      <c r="G536" s="369"/>
    </row>
    <row r="537" spans="1:8" x14ac:dyDescent="0.25">
      <c r="A537" s="217"/>
      <c r="B537" s="364"/>
      <c r="C537" s="235"/>
      <c r="D537" s="365"/>
      <c r="E537" s="366"/>
      <c r="F537" s="367"/>
      <c r="G537" s="222"/>
    </row>
    <row r="538" spans="1:8" x14ac:dyDescent="0.25">
      <c r="A538" s="217"/>
      <c r="B538" s="1790" t="s">
        <v>26</v>
      </c>
      <c r="C538" s="1790"/>
      <c r="D538" s="1790"/>
      <c r="E538" s="1790"/>
      <c r="F538" s="368">
        <f>SUM(F524:F537)</f>
        <v>1205000</v>
      </c>
      <c r="G538" s="222" t="s">
        <v>1417</v>
      </c>
    </row>
    <row r="539" spans="1:8" x14ac:dyDescent="0.25">
      <c r="A539" s="1762" t="s">
        <v>549</v>
      </c>
      <c r="B539" s="1762"/>
      <c r="C539" s="188" t="s">
        <v>27</v>
      </c>
      <c r="D539" s="1763" t="s">
        <v>1426</v>
      </c>
      <c r="E539" s="1763"/>
      <c r="F539" s="1763"/>
      <c r="G539" s="188"/>
    </row>
    <row r="540" spans="1:8" x14ac:dyDescent="0.25">
      <c r="A540" s="1762" t="s">
        <v>28</v>
      </c>
      <c r="B540" s="1762"/>
      <c r="C540" s="188"/>
      <c r="D540" s="1764" t="s">
        <v>2832</v>
      </c>
      <c r="E540" s="1764"/>
      <c r="F540" s="1764"/>
      <c r="G540" s="188"/>
      <c r="H540" s="36"/>
    </row>
    <row r="541" spans="1:8" x14ac:dyDescent="0.25">
      <c r="A541" s="186"/>
      <c r="B541" s="187"/>
      <c r="C541" s="188"/>
      <c r="D541" s="189"/>
      <c r="E541" s="218"/>
      <c r="F541" s="218"/>
      <c r="G541" s="188"/>
    </row>
    <row r="542" spans="1:8" x14ac:dyDescent="0.25">
      <c r="A542" s="186"/>
      <c r="B542" s="187"/>
      <c r="C542" s="188"/>
      <c r="D542" s="189"/>
      <c r="E542" s="218"/>
      <c r="F542" s="218"/>
      <c r="G542" s="188"/>
    </row>
    <row r="543" spans="1:8" x14ac:dyDescent="0.25">
      <c r="A543" s="1762"/>
      <c r="B543" s="1762"/>
      <c r="C543" s="188"/>
      <c r="D543" s="189"/>
      <c r="E543" s="1762"/>
      <c r="F543" s="1762"/>
      <c r="G543" s="188"/>
    </row>
    <row r="544" spans="1:8" x14ac:dyDescent="0.25">
      <c r="A544" s="1762" t="s">
        <v>29</v>
      </c>
      <c r="B544" s="1762"/>
      <c r="C544" s="188"/>
      <c r="D544" s="1762" t="s">
        <v>2989</v>
      </c>
      <c r="E544" s="1762"/>
      <c r="F544" s="1762"/>
      <c r="G544" s="188"/>
    </row>
    <row r="545" spans="1:19" x14ac:dyDescent="0.25">
      <c r="S545" s="32">
        <f>F538</f>
        <v>1205000</v>
      </c>
    </row>
    <row r="547" spans="1:19" x14ac:dyDescent="0.25">
      <c r="A547" s="1933" t="s">
        <v>0</v>
      </c>
      <c r="B547" s="1933"/>
      <c r="C547" s="1933"/>
      <c r="D547" s="1933"/>
      <c r="E547" s="1933"/>
      <c r="F547" s="1933"/>
      <c r="G547" s="1933"/>
    </row>
    <row r="548" spans="1:19" x14ac:dyDescent="0.25">
      <c r="A548" s="1933" t="s">
        <v>1</v>
      </c>
      <c r="B548" s="1933"/>
      <c r="C548" s="1933"/>
      <c r="D548" s="1933"/>
      <c r="E548" s="1933"/>
      <c r="F548" s="1933"/>
      <c r="G548" s="1933"/>
    </row>
    <row r="549" spans="1:19" x14ac:dyDescent="0.25">
      <c r="A549" s="1933" t="s">
        <v>1769</v>
      </c>
      <c r="B549" s="1933"/>
      <c r="C549" s="1933"/>
      <c r="D549" s="1933"/>
      <c r="E549" s="1933"/>
      <c r="F549" s="1933"/>
      <c r="G549" s="1933"/>
    </row>
    <row r="550" spans="1:19" x14ac:dyDescent="0.25">
      <c r="A550" s="1510"/>
      <c r="B550" s="1510"/>
      <c r="C550" s="1419"/>
      <c r="D550" s="1419"/>
      <c r="E550" s="1510"/>
      <c r="F550" s="1510"/>
      <c r="G550" s="1510"/>
    </row>
    <row r="551" spans="1:19" x14ac:dyDescent="0.25">
      <c r="A551" s="1422" t="s">
        <v>1083</v>
      </c>
      <c r="B551" s="1422" t="s">
        <v>2631</v>
      </c>
      <c r="C551" s="1555"/>
      <c r="D551" s="1555"/>
      <c r="E551" s="1511"/>
      <c r="F551" s="1511"/>
      <c r="G551" s="1555"/>
    </row>
    <row r="552" spans="1:19" x14ac:dyDescent="0.25">
      <c r="A552" s="1422" t="s">
        <v>1228</v>
      </c>
      <c r="B552" s="1422" t="s">
        <v>2210</v>
      </c>
      <c r="C552" s="1555"/>
      <c r="D552" s="1555"/>
      <c r="E552" s="1512"/>
      <c r="F552" s="1420" t="s">
        <v>6</v>
      </c>
      <c r="G552" s="1420" t="s">
        <v>2632</v>
      </c>
    </row>
    <row r="553" spans="1:19" ht="48" x14ac:dyDescent="0.25">
      <c r="A553" s="1558" t="s">
        <v>754</v>
      </c>
      <c r="B553" s="1559" t="s">
        <v>2633</v>
      </c>
      <c r="C553" s="1560"/>
      <c r="D553" s="1560"/>
      <c r="E553" s="1559"/>
      <c r="F553" s="1559" t="s">
        <v>329</v>
      </c>
      <c r="G553" s="1558" t="s">
        <v>63</v>
      </c>
    </row>
    <row r="554" spans="1:19" x14ac:dyDescent="0.25">
      <c r="A554" s="1422" t="s">
        <v>545</v>
      </c>
      <c r="B554" s="1422" t="s">
        <v>2634</v>
      </c>
      <c r="C554" s="1555"/>
      <c r="D554" s="1555"/>
      <c r="E554" s="1555"/>
      <c r="F554" s="1555"/>
      <c r="G554" s="1555"/>
    </row>
    <row r="555" spans="1:19" x14ac:dyDescent="0.25">
      <c r="A555" s="1510" t="s">
        <v>422</v>
      </c>
      <c r="B555" s="1510" t="s">
        <v>546</v>
      </c>
      <c r="C555" s="1419"/>
      <c r="D555" s="1419"/>
      <c r="E555" s="1510"/>
      <c r="F555" s="1510"/>
      <c r="G555" s="1510"/>
    </row>
    <row r="556" spans="1:19" x14ac:dyDescent="0.25">
      <c r="A556" s="2008" t="s">
        <v>503</v>
      </c>
      <c r="B556" s="2008"/>
      <c r="C556" s="1555"/>
      <c r="D556" s="1555"/>
      <c r="E556" s="1511"/>
      <c r="F556" s="1421"/>
      <c r="G556" s="1510"/>
    </row>
    <row r="557" spans="1:19" x14ac:dyDescent="0.25">
      <c r="A557" s="1555"/>
      <c r="B557" s="1555"/>
      <c r="C557" s="1555"/>
      <c r="D557" s="1555"/>
      <c r="E557" s="1555"/>
      <c r="F557" s="1555"/>
      <c r="G557" s="1510"/>
    </row>
    <row r="558" spans="1:19" ht="24" x14ac:dyDescent="0.25">
      <c r="A558" s="1326" t="s">
        <v>30</v>
      </c>
      <c r="B558" s="1326" t="s">
        <v>11</v>
      </c>
      <c r="C558" s="2028" t="s">
        <v>12</v>
      </c>
      <c r="D558" s="2029"/>
      <c r="E558" s="1561" t="s">
        <v>13</v>
      </c>
      <c r="F558" s="1425" t="s">
        <v>14</v>
      </c>
      <c r="G558" s="1438" t="s">
        <v>2635</v>
      </c>
    </row>
    <row r="559" spans="1:19" x14ac:dyDescent="0.25">
      <c r="A559" s="1325">
        <v>1</v>
      </c>
      <c r="B559" s="1325">
        <v>2</v>
      </c>
      <c r="C559" s="1853">
        <v>3</v>
      </c>
      <c r="D559" s="1854"/>
      <c r="E559" s="1562">
        <v>4</v>
      </c>
      <c r="F559" s="1327">
        <v>5</v>
      </c>
      <c r="G559" s="1330">
        <v>6</v>
      </c>
    </row>
    <row r="560" spans="1:19" x14ac:dyDescent="0.25">
      <c r="A560" s="1439" t="s">
        <v>2718</v>
      </c>
      <c r="B560" s="1563" t="s">
        <v>424</v>
      </c>
      <c r="C560" s="1431"/>
      <c r="D560" s="1428"/>
      <c r="E560" s="1564"/>
      <c r="F560" s="1564"/>
      <c r="G560" s="1501"/>
    </row>
    <row r="561" spans="1:7" x14ac:dyDescent="0.25">
      <c r="A561" s="1565" t="s">
        <v>2720</v>
      </c>
      <c r="B561" s="1566" t="s">
        <v>2719</v>
      </c>
      <c r="C561" s="1431"/>
      <c r="D561" s="1428"/>
      <c r="E561" s="1430"/>
      <c r="F561" s="1430"/>
      <c r="G561" s="1501"/>
    </row>
    <row r="562" spans="1:7" x14ac:dyDescent="0.25">
      <c r="A562" s="1565" t="s">
        <v>2721</v>
      </c>
      <c r="B562" s="1566" t="s">
        <v>1016</v>
      </c>
      <c r="C562" s="1431"/>
      <c r="D562" s="1428"/>
      <c r="E562" s="1430"/>
      <c r="F562" s="1430"/>
      <c r="G562" s="1501"/>
    </row>
    <row r="563" spans="1:7" ht="15.75" thickBot="1" x14ac:dyDescent="0.3">
      <c r="A563" s="1565"/>
      <c r="B563" s="1566" t="s">
        <v>1016</v>
      </c>
      <c r="C563" s="1555">
        <v>1</v>
      </c>
      <c r="D563" s="1567" t="s">
        <v>1939</v>
      </c>
      <c r="E563" s="1568">
        <v>3475000</v>
      </c>
      <c r="F563" s="1568">
        <f>E563*C563</f>
        <v>3475000</v>
      </c>
      <c r="G563" s="1502"/>
    </row>
    <row r="564" spans="1:7" ht="15.75" thickBot="1" x14ac:dyDescent="0.3">
      <c r="A564" s="1565"/>
      <c r="B564" s="1569"/>
      <c r="C564" s="2030" t="s">
        <v>847</v>
      </c>
      <c r="D564" s="2031"/>
      <c r="E564" s="2032"/>
      <c r="F564" s="1570">
        <f>F563</f>
        <v>3475000</v>
      </c>
      <c r="G564" s="1502"/>
    </row>
    <row r="565" spans="1:7" x14ac:dyDescent="0.25">
      <c r="A565" s="1565" t="s">
        <v>2722</v>
      </c>
      <c r="B565" s="1566" t="s">
        <v>2636</v>
      </c>
      <c r="C565" s="1571"/>
      <c r="D565" s="1572"/>
      <c r="E565" s="1564"/>
      <c r="F565" s="1564"/>
      <c r="G565" s="1501"/>
    </row>
    <row r="566" spans="1:7" x14ac:dyDescent="0.25">
      <c r="A566" s="1565"/>
      <c r="B566" s="1566" t="s">
        <v>2637</v>
      </c>
      <c r="C566" s="1571">
        <v>0</v>
      </c>
      <c r="D566" s="1572" t="s">
        <v>419</v>
      </c>
      <c r="E566" s="1429">
        <v>93668</v>
      </c>
      <c r="F566" s="1573">
        <f>E566*C566</f>
        <v>0</v>
      </c>
      <c r="G566" s="1502"/>
    </row>
    <row r="567" spans="1:7" x14ac:dyDescent="0.25">
      <c r="A567" s="1574"/>
      <c r="B567" s="1575" t="s">
        <v>2638</v>
      </c>
      <c r="C567" s="1576">
        <v>63</v>
      </c>
      <c r="D567" s="1328" t="s">
        <v>419</v>
      </c>
      <c r="E567" s="1429">
        <v>130000</v>
      </c>
      <c r="F567" s="1430">
        <f>E567*C567</f>
        <v>8190000</v>
      </c>
      <c r="G567" s="1502"/>
    </row>
    <row r="568" spans="1:7" ht="15.75" thickBot="1" x14ac:dyDescent="0.3">
      <c r="A568" s="1574"/>
      <c r="B568" s="1575" t="s">
        <v>1489</v>
      </c>
      <c r="C568" s="1577">
        <v>31</v>
      </c>
      <c r="D568" s="1350" t="s">
        <v>419</v>
      </c>
      <c r="E568" s="1578">
        <v>150000</v>
      </c>
      <c r="F568" s="1578">
        <f>E568*C568</f>
        <v>4650000</v>
      </c>
      <c r="G568" s="1502"/>
    </row>
    <row r="569" spans="1:7" ht="15.75" thickBot="1" x14ac:dyDescent="0.3">
      <c r="A569" s="1574"/>
      <c r="B569" s="1579"/>
      <c r="C569" s="2033" t="s">
        <v>847</v>
      </c>
      <c r="D569" s="2034"/>
      <c r="E569" s="2035"/>
      <c r="F569" s="1580">
        <f>F568+F567+F566</f>
        <v>12840000</v>
      </c>
      <c r="G569" s="1502"/>
    </row>
    <row r="570" spans="1:7" x14ac:dyDescent="0.25">
      <c r="A570" s="1565" t="s">
        <v>2723</v>
      </c>
      <c r="B570" s="1502" t="s">
        <v>2639</v>
      </c>
      <c r="C570" s="1571"/>
      <c r="D570" s="1572"/>
      <c r="E570" s="1581"/>
      <c r="F570" s="1581"/>
      <c r="G570" s="1502"/>
    </row>
    <row r="571" spans="1:7" ht="16.5" x14ac:dyDescent="0.25">
      <c r="A571" s="1574"/>
      <c r="B571" s="1602" t="s">
        <v>2270</v>
      </c>
      <c r="C571" s="1576">
        <v>4.2960000000000003</v>
      </c>
      <c r="D571" s="1584" t="s">
        <v>843</v>
      </c>
      <c r="E571" s="1600">
        <v>2350000</v>
      </c>
      <c r="F571" s="1429">
        <f>E571*C571</f>
        <v>10095600</v>
      </c>
      <c r="G571" s="1502"/>
    </row>
    <row r="572" spans="1:7" ht="16.5" x14ac:dyDescent="0.25">
      <c r="A572" s="1574"/>
      <c r="B572" s="1603" t="s">
        <v>2272</v>
      </c>
      <c r="C572" s="1605">
        <v>42.960000000000008</v>
      </c>
      <c r="D572" s="1584" t="s">
        <v>1494</v>
      </c>
      <c r="E572" s="1429">
        <v>35000</v>
      </c>
      <c r="F572" s="1429">
        <f>E572*C572</f>
        <v>1503600.0000000002</v>
      </c>
      <c r="G572" s="1502"/>
    </row>
    <row r="573" spans="1:7" ht="16.5" x14ac:dyDescent="0.25">
      <c r="A573" s="1574"/>
      <c r="B573" s="1603" t="s">
        <v>2273</v>
      </c>
      <c r="C573" s="1606">
        <v>1.611</v>
      </c>
      <c r="D573" s="1584" t="s">
        <v>843</v>
      </c>
      <c r="E573" s="1600">
        <v>2350000</v>
      </c>
      <c r="F573" s="1429">
        <f>E573*C573</f>
        <v>3785850</v>
      </c>
      <c r="G573" s="1502"/>
    </row>
    <row r="574" spans="1:7" ht="17.25" thickBot="1" x14ac:dyDescent="0.3">
      <c r="A574" s="1574"/>
      <c r="B574" s="1602" t="s">
        <v>2640</v>
      </c>
      <c r="C574" s="1607">
        <v>37.589999999999996</v>
      </c>
      <c r="D574" s="1584" t="s">
        <v>276</v>
      </c>
      <c r="E574" s="1429">
        <v>150000</v>
      </c>
      <c r="F574" s="1429">
        <f>E574*C574</f>
        <v>5638499.9999999991</v>
      </c>
      <c r="G574" s="1502"/>
    </row>
    <row r="575" spans="1:7" ht="15.75" thickBot="1" x14ac:dyDescent="0.3">
      <c r="A575" s="1504"/>
      <c r="B575" s="1601"/>
      <c r="C575" s="2036" t="s">
        <v>847</v>
      </c>
      <c r="D575" s="2037"/>
      <c r="E575" s="2038"/>
      <c r="F575" s="1608">
        <f>SUM(F571:F574)</f>
        <v>21023550</v>
      </c>
      <c r="G575" s="1591"/>
    </row>
    <row r="576" spans="1:7" ht="15.75" thickBot="1" x14ac:dyDescent="0.3">
      <c r="A576" s="1592"/>
      <c r="B576" s="1593"/>
      <c r="C576" s="1594"/>
      <c r="D576" s="1595"/>
      <c r="E576" s="1596"/>
      <c r="F576" s="1596"/>
      <c r="G576" s="1592"/>
    </row>
    <row r="577" spans="1:12" ht="15.75" thickBot="1" x14ac:dyDescent="0.3">
      <c r="A577" s="1597"/>
      <c r="B577" s="2039" t="s">
        <v>26</v>
      </c>
      <c r="C577" s="2040"/>
      <c r="D577" s="2040"/>
      <c r="E577" s="2041"/>
      <c r="F577" s="1598"/>
      <c r="G577" s="1591" t="s">
        <v>1711</v>
      </c>
      <c r="L577" s="32">
        <f>F577</f>
        <v>0</v>
      </c>
    </row>
    <row r="579" spans="1:12" x14ac:dyDescent="0.25">
      <c r="F579" s="2027"/>
      <c r="G579" s="2027"/>
    </row>
    <row r="583" spans="1:12" x14ac:dyDescent="0.25">
      <c r="A583" s="1933" t="s">
        <v>0</v>
      </c>
      <c r="B583" s="1933"/>
      <c r="C583" s="1933"/>
      <c r="D583" s="1933"/>
      <c r="E583" s="1933"/>
      <c r="F583" s="1933"/>
      <c r="G583" s="1933"/>
    </row>
    <row r="584" spans="1:12" x14ac:dyDescent="0.25">
      <c r="A584" s="1933" t="s">
        <v>1</v>
      </c>
      <c r="B584" s="1933"/>
      <c r="C584" s="1933"/>
      <c r="D584" s="1933"/>
      <c r="E584" s="1933"/>
      <c r="F584" s="1933"/>
      <c r="G584" s="1933"/>
    </row>
    <row r="585" spans="1:12" x14ac:dyDescent="0.25">
      <c r="A585" s="1933" t="s">
        <v>1769</v>
      </c>
      <c r="B585" s="1933"/>
      <c r="C585" s="1933"/>
      <c r="D585" s="1933"/>
      <c r="E585" s="1933"/>
      <c r="F585" s="1933"/>
      <c r="G585" s="1933"/>
    </row>
    <row r="586" spans="1:12" x14ac:dyDescent="0.25">
      <c r="A586" s="1510"/>
      <c r="B586" s="1510"/>
      <c r="C586" s="1419"/>
      <c r="D586" s="1419"/>
      <c r="E586" s="1510"/>
      <c r="F586" s="1510"/>
      <c r="G586" s="1510"/>
    </row>
    <row r="587" spans="1:12" x14ac:dyDescent="0.25">
      <c r="A587" s="1422" t="s">
        <v>1083</v>
      </c>
      <c r="B587" s="1422" t="s">
        <v>2631</v>
      </c>
      <c r="C587" s="1555"/>
      <c r="D587" s="1555"/>
      <c r="E587" s="1511"/>
      <c r="F587" s="1511"/>
      <c r="G587" s="1555"/>
    </row>
    <row r="588" spans="1:12" x14ac:dyDescent="0.25">
      <c r="A588" s="1422" t="s">
        <v>1228</v>
      </c>
      <c r="B588" s="1422" t="s">
        <v>2210</v>
      </c>
      <c r="C588" s="1555"/>
      <c r="D588" s="1555"/>
      <c r="E588" s="1512"/>
      <c r="F588" s="1420" t="s">
        <v>6</v>
      </c>
      <c r="G588" s="1420" t="s">
        <v>2632</v>
      </c>
    </row>
    <row r="589" spans="1:12" ht="48" x14ac:dyDescent="0.25">
      <c r="A589" s="1558" t="s">
        <v>754</v>
      </c>
      <c r="B589" s="1559" t="s">
        <v>2641</v>
      </c>
      <c r="C589" s="1560"/>
      <c r="D589" s="1560"/>
      <c r="E589" s="1559"/>
      <c r="F589" s="1559" t="s">
        <v>329</v>
      </c>
      <c r="G589" s="1558" t="s">
        <v>63</v>
      </c>
    </row>
    <row r="590" spans="1:12" x14ac:dyDescent="0.25">
      <c r="A590" s="1422" t="s">
        <v>545</v>
      </c>
      <c r="B590" s="1422" t="s">
        <v>2642</v>
      </c>
      <c r="C590" s="1555"/>
      <c r="D590" s="1555"/>
      <c r="E590" s="1555"/>
      <c r="F590" s="1555"/>
      <c r="G590" s="1555"/>
    </row>
    <row r="591" spans="1:12" x14ac:dyDescent="0.25">
      <c r="A591" s="1510" t="s">
        <v>422</v>
      </c>
      <c r="B591" s="1510" t="s">
        <v>546</v>
      </c>
      <c r="C591" s="1419"/>
      <c r="D591" s="1419"/>
      <c r="E591" s="1510"/>
      <c r="F591" s="1510"/>
      <c r="G591" s="1510"/>
    </row>
    <row r="592" spans="1:12" x14ac:dyDescent="0.25">
      <c r="A592" s="2008" t="s">
        <v>503</v>
      </c>
      <c r="B592" s="2008"/>
      <c r="C592" s="1555"/>
      <c r="D592" s="1555"/>
      <c r="E592" s="1511"/>
      <c r="F592" s="1421"/>
      <c r="G592" s="1510"/>
    </row>
    <row r="593" spans="1:7" x14ac:dyDescent="0.25">
      <c r="A593" s="1555"/>
      <c r="B593" s="1555"/>
      <c r="C593" s="1555"/>
      <c r="D593" s="1555"/>
      <c r="E593" s="1555"/>
      <c r="F593" s="1555"/>
      <c r="G593" s="1510"/>
    </row>
    <row r="594" spans="1:7" ht="24" x14ac:dyDescent="0.25">
      <c r="A594" s="1326" t="s">
        <v>30</v>
      </c>
      <c r="B594" s="1326" t="s">
        <v>11</v>
      </c>
      <c r="C594" s="2028" t="s">
        <v>12</v>
      </c>
      <c r="D594" s="2029"/>
      <c r="E594" s="1561" t="s">
        <v>13</v>
      </c>
      <c r="F594" s="1425" t="s">
        <v>14</v>
      </c>
      <c r="G594" s="1438" t="s">
        <v>2635</v>
      </c>
    </row>
    <row r="595" spans="1:7" x14ac:dyDescent="0.25">
      <c r="A595" s="1325">
        <v>1</v>
      </c>
      <c r="B595" s="1325">
        <v>2</v>
      </c>
      <c r="C595" s="1853">
        <v>3</v>
      </c>
      <c r="D595" s="1854"/>
      <c r="E595" s="1562">
        <v>4</v>
      </c>
      <c r="F595" s="1327">
        <v>5</v>
      </c>
      <c r="G595" s="1330">
        <v>6</v>
      </c>
    </row>
    <row r="596" spans="1:7" x14ac:dyDescent="0.25">
      <c r="A596" s="1439" t="s">
        <v>2718</v>
      </c>
      <c r="B596" s="1563" t="s">
        <v>424</v>
      </c>
      <c r="C596" s="1431"/>
      <c r="D596" s="1428"/>
      <c r="E596" s="1564"/>
      <c r="F596" s="1564"/>
      <c r="G596" s="1501"/>
    </row>
    <row r="597" spans="1:7" x14ac:dyDescent="0.25">
      <c r="A597" s="1565" t="s">
        <v>2720</v>
      </c>
      <c r="B597" s="1566" t="s">
        <v>2719</v>
      </c>
      <c r="C597" s="1431"/>
      <c r="D597" s="1428"/>
      <c r="E597" s="1430"/>
      <c r="F597" s="1430"/>
      <c r="G597" s="1501"/>
    </row>
    <row r="598" spans="1:7" x14ac:dyDescent="0.25">
      <c r="A598" s="1565" t="s">
        <v>2721</v>
      </c>
      <c r="B598" s="1566" t="s">
        <v>1016</v>
      </c>
      <c r="C598" s="1431"/>
      <c r="D598" s="1428"/>
      <c r="E598" s="1430"/>
      <c r="F598" s="1430"/>
      <c r="G598" s="1501"/>
    </row>
    <row r="599" spans="1:7" ht="15.75" thickBot="1" x14ac:dyDescent="0.3">
      <c r="A599" s="1565"/>
      <c r="B599" s="1566" t="s">
        <v>1016</v>
      </c>
      <c r="C599" s="1555">
        <v>1</v>
      </c>
      <c r="D599" s="1567" t="s">
        <v>1939</v>
      </c>
      <c r="E599" s="1568">
        <v>260000</v>
      </c>
      <c r="F599" s="1568">
        <f>E599*C599</f>
        <v>260000</v>
      </c>
      <c r="G599" s="1502"/>
    </row>
    <row r="600" spans="1:7" ht="15.75" thickBot="1" x14ac:dyDescent="0.3">
      <c r="A600" s="1565"/>
      <c r="B600" s="1569"/>
      <c r="C600" s="2030" t="s">
        <v>847</v>
      </c>
      <c r="D600" s="2031"/>
      <c r="E600" s="2032"/>
      <c r="F600" s="1570"/>
      <c r="G600" s="1502"/>
    </row>
    <row r="601" spans="1:7" x14ac:dyDescent="0.25">
      <c r="A601" s="1565" t="s">
        <v>2722</v>
      </c>
      <c r="B601" s="1566" t="s">
        <v>2636</v>
      </c>
      <c r="C601" s="1571"/>
      <c r="D601" s="1572"/>
      <c r="E601" s="1564"/>
      <c r="F601" s="1564"/>
      <c r="G601" s="1501"/>
    </row>
    <row r="602" spans="1:7" x14ac:dyDescent="0.25">
      <c r="A602" s="1565"/>
      <c r="B602" s="1566" t="s">
        <v>2637</v>
      </c>
      <c r="C602" s="1571">
        <v>0</v>
      </c>
      <c r="D602" s="1572" t="s">
        <v>419</v>
      </c>
      <c r="E602" s="1429">
        <v>93668</v>
      </c>
      <c r="F602" s="1573">
        <f>E602*C602</f>
        <v>0</v>
      </c>
      <c r="G602" s="1502"/>
    </row>
    <row r="603" spans="1:7" x14ac:dyDescent="0.25">
      <c r="A603" s="1574"/>
      <c r="B603" s="1575" t="s">
        <v>2638</v>
      </c>
      <c r="C603" s="1576">
        <v>12</v>
      </c>
      <c r="D603" s="1328" t="s">
        <v>419</v>
      </c>
      <c r="E603" s="1429">
        <v>130000</v>
      </c>
      <c r="F603" s="1430">
        <f>E603*C603</f>
        <v>1560000</v>
      </c>
      <c r="G603" s="1502"/>
    </row>
    <row r="604" spans="1:7" ht="15.75" thickBot="1" x14ac:dyDescent="0.3">
      <c r="A604" s="1574"/>
      <c r="B604" s="1575" t="s">
        <v>1489</v>
      </c>
      <c r="C604" s="1577">
        <v>2</v>
      </c>
      <c r="D604" s="1350" t="s">
        <v>419</v>
      </c>
      <c r="E604" s="1578">
        <v>150000</v>
      </c>
      <c r="F604" s="1578">
        <f>E604*C604</f>
        <v>300000</v>
      </c>
      <c r="G604" s="1502"/>
    </row>
    <row r="605" spans="1:7" ht="15.75" thickBot="1" x14ac:dyDescent="0.3">
      <c r="A605" s="1574"/>
      <c r="B605" s="1579"/>
      <c r="C605" s="2033" t="s">
        <v>847</v>
      </c>
      <c r="D605" s="2034"/>
      <c r="E605" s="2035"/>
      <c r="F605" s="1580">
        <f>F604+F603+F602</f>
        <v>1860000</v>
      </c>
      <c r="G605" s="1502"/>
    </row>
    <row r="606" spans="1:7" x14ac:dyDescent="0.25">
      <c r="A606" s="1565" t="s">
        <v>2723</v>
      </c>
      <c r="B606" s="1502" t="s">
        <v>2639</v>
      </c>
      <c r="C606" s="1571"/>
      <c r="D606" s="1572"/>
      <c r="E606" s="1581"/>
      <c r="F606" s="1581"/>
      <c r="G606" s="1502"/>
    </row>
    <row r="607" spans="1:7" ht="16.5" x14ac:dyDescent="0.25">
      <c r="A607" s="1574"/>
      <c r="B607" s="1602" t="s">
        <v>2253</v>
      </c>
      <c r="C607" s="1583">
        <v>2656.36</v>
      </c>
      <c r="D607" s="1584" t="s">
        <v>1494</v>
      </c>
      <c r="E607" s="1600">
        <v>3000</v>
      </c>
      <c r="F607" s="1429">
        <f>E607*C607</f>
        <v>7969080</v>
      </c>
      <c r="G607" s="1502"/>
    </row>
    <row r="608" spans="1:7" ht="16.5" x14ac:dyDescent="0.25">
      <c r="A608" s="1574"/>
      <c r="B608" s="1603" t="s">
        <v>2266</v>
      </c>
      <c r="C608" s="1583">
        <v>4</v>
      </c>
      <c r="D608" s="1584" t="s">
        <v>843</v>
      </c>
      <c r="E608" s="1429">
        <v>325000</v>
      </c>
      <c r="F608" s="1429">
        <f>E608*C608</f>
        <v>1300000</v>
      </c>
      <c r="G608" s="1502"/>
    </row>
    <row r="609" spans="1:12" ht="17.25" thickBot="1" x14ac:dyDescent="0.3">
      <c r="A609" s="1574"/>
      <c r="B609" s="1602" t="s">
        <v>2267</v>
      </c>
      <c r="C609" s="1587">
        <v>6</v>
      </c>
      <c r="D609" s="1588" t="s">
        <v>843</v>
      </c>
      <c r="E609" s="1604">
        <v>350000</v>
      </c>
      <c r="F609" s="1429">
        <f>E609*C609</f>
        <v>2100000</v>
      </c>
      <c r="G609" s="1502"/>
    </row>
    <row r="610" spans="1:12" ht="15.75" thickBot="1" x14ac:dyDescent="0.3">
      <c r="A610" s="1504"/>
      <c r="B610" s="1601"/>
      <c r="C610" s="2036" t="s">
        <v>847</v>
      </c>
      <c r="D610" s="2053"/>
      <c r="E610" s="2054"/>
      <c r="F610" s="1590">
        <f>SUM(F607:F609)</f>
        <v>11369080</v>
      </c>
      <c r="G610" s="1591"/>
    </row>
    <row r="611" spans="1:12" ht="15.75" thickBot="1" x14ac:dyDescent="0.3">
      <c r="A611" s="1592"/>
      <c r="B611" s="1593"/>
      <c r="C611" s="1594"/>
      <c r="D611" s="1595"/>
      <c r="E611" s="1596"/>
      <c r="F611" s="1596"/>
      <c r="G611" s="1592"/>
    </row>
    <row r="612" spans="1:12" ht="15.75" thickBot="1" x14ac:dyDescent="0.3">
      <c r="A612" s="1597"/>
      <c r="B612" s="2039" t="s">
        <v>26</v>
      </c>
      <c r="C612" s="2040"/>
      <c r="D612" s="2040"/>
      <c r="E612" s="2041"/>
      <c r="F612" s="1598"/>
      <c r="G612" s="1591" t="s">
        <v>1711</v>
      </c>
      <c r="L612" s="32">
        <f>F612</f>
        <v>0</v>
      </c>
    </row>
    <row r="615" spans="1:12" x14ac:dyDescent="0.25">
      <c r="A615" s="1933" t="s">
        <v>0</v>
      </c>
      <c r="B615" s="1933"/>
      <c r="C615" s="1933"/>
      <c r="D615" s="1933"/>
      <c r="E615" s="1933"/>
      <c r="F615" s="1933"/>
      <c r="G615" s="1933"/>
    </row>
    <row r="616" spans="1:12" x14ac:dyDescent="0.25">
      <c r="A616" s="1933" t="s">
        <v>1</v>
      </c>
      <c r="B616" s="1933"/>
      <c r="C616" s="1933"/>
      <c r="D616" s="1933"/>
      <c r="E616" s="1933"/>
      <c r="F616" s="1933"/>
      <c r="G616" s="1933"/>
    </row>
    <row r="617" spans="1:12" x14ac:dyDescent="0.25">
      <c r="A617" s="1933" t="s">
        <v>1769</v>
      </c>
      <c r="B617" s="1933"/>
      <c r="C617" s="1933"/>
      <c r="D617" s="1933"/>
      <c r="E617" s="1933"/>
      <c r="F617" s="1933"/>
      <c r="G617" s="1933"/>
    </row>
    <row r="618" spans="1:12" x14ac:dyDescent="0.25">
      <c r="A618" s="1510"/>
      <c r="B618" s="1510"/>
      <c r="C618" s="1419"/>
      <c r="D618" s="1419"/>
      <c r="E618" s="1510"/>
      <c r="F618" s="1510"/>
      <c r="G618" s="1510"/>
    </row>
    <row r="619" spans="1:12" x14ac:dyDescent="0.25">
      <c r="A619" s="1422" t="s">
        <v>1083</v>
      </c>
      <c r="B619" s="1422" t="s">
        <v>2631</v>
      </c>
      <c r="C619" s="1555"/>
      <c r="D619" s="1555"/>
      <c r="E619" s="1511"/>
      <c r="F619" s="1511"/>
      <c r="G619" s="1555"/>
    </row>
    <row r="620" spans="1:12" x14ac:dyDescent="0.25">
      <c r="A620" s="1422" t="s">
        <v>1228</v>
      </c>
      <c r="B620" s="1422" t="s">
        <v>2210</v>
      </c>
      <c r="C620" s="1555"/>
      <c r="D620" s="1555"/>
      <c r="E620" s="1512"/>
      <c r="F620" s="1420" t="s">
        <v>6</v>
      </c>
      <c r="G620" s="1420" t="s">
        <v>2632</v>
      </c>
    </row>
    <row r="621" spans="1:12" ht="60" x14ac:dyDescent="0.25">
      <c r="A621" s="1558" t="s">
        <v>754</v>
      </c>
      <c r="B621" s="1559" t="s">
        <v>2643</v>
      </c>
      <c r="C621" s="1560"/>
      <c r="D621" s="1560"/>
      <c r="E621" s="1559"/>
      <c r="F621" s="1559" t="s">
        <v>329</v>
      </c>
      <c r="G621" s="1558" t="s">
        <v>63</v>
      </c>
    </row>
    <row r="622" spans="1:12" x14ac:dyDescent="0.25">
      <c r="A622" s="1422" t="s">
        <v>545</v>
      </c>
      <c r="B622" s="1422" t="s">
        <v>2644</v>
      </c>
      <c r="C622" s="1555"/>
      <c r="D622" s="1555"/>
      <c r="E622" s="1555"/>
      <c r="F622" s="1555"/>
      <c r="G622" s="1555"/>
    </row>
    <row r="623" spans="1:12" x14ac:dyDescent="0.25">
      <c r="A623" s="1510" t="s">
        <v>422</v>
      </c>
      <c r="B623" s="1510" t="s">
        <v>546</v>
      </c>
      <c r="C623" s="1419"/>
      <c r="D623" s="1419"/>
      <c r="E623" s="1510"/>
      <c r="F623" s="1510"/>
      <c r="G623" s="1510"/>
    </row>
    <row r="624" spans="1:12" x14ac:dyDescent="0.25">
      <c r="A624" s="2008" t="s">
        <v>503</v>
      </c>
      <c r="B624" s="2008"/>
      <c r="C624" s="1555"/>
      <c r="D624" s="1555"/>
      <c r="E624" s="1511"/>
      <c r="F624" s="1421"/>
      <c r="G624" s="1510"/>
    </row>
    <row r="625" spans="1:12" x14ac:dyDescent="0.25">
      <c r="A625" s="1555"/>
      <c r="B625" s="1555"/>
      <c r="C625" s="1555"/>
      <c r="D625" s="1555"/>
      <c r="E625" s="1555"/>
      <c r="F625" s="1555"/>
      <c r="G625" s="1510"/>
    </row>
    <row r="626" spans="1:12" ht="24" x14ac:dyDescent="0.25">
      <c r="A626" s="1326" t="s">
        <v>30</v>
      </c>
      <c r="B626" s="1326" t="s">
        <v>11</v>
      </c>
      <c r="C626" s="2028" t="s">
        <v>12</v>
      </c>
      <c r="D626" s="2029"/>
      <c r="E626" s="1561" t="s">
        <v>13</v>
      </c>
      <c r="F626" s="1425" t="s">
        <v>14</v>
      </c>
      <c r="G626" s="1438" t="s">
        <v>2635</v>
      </c>
    </row>
    <row r="627" spans="1:12" x14ac:dyDescent="0.25">
      <c r="A627" s="1325">
        <v>1</v>
      </c>
      <c r="B627" s="1325">
        <v>2</v>
      </c>
      <c r="C627" s="1853">
        <v>3</v>
      </c>
      <c r="D627" s="1854"/>
      <c r="E627" s="1562">
        <v>4</v>
      </c>
      <c r="F627" s="1327">
        <v>5</v>
      </c>
      <c r="G627" s="1330">
        <v>6</v>
      </c>
    </row>
    <row r="628" spans="1:12" x14ac:dyDescent="0.25">
      <c r="A628" s="1439" t="s">
        <v>2718</v>
      </c>
      <c r="B628" s="1563" t="s">
        <v>424</v>
      </c>
      <c r="C628" s="1431"/>
      <c r="D628" s="1428"/>
      <c r="E628" s="1564"/>
      <c r="F628" s="1564"/>
      <c r="G628" s="1501"/>
    </row>
    <row r="629" spans="1:12" x14ac:dyDescent="0.25">
      <c r="A629" s="1565" t="s">
        <v>2720</v>
      </c>
      <c r="B629" s="1566" t="s">
        <v>2719</v>
      </c>
      <c r="C629" s="1431"/>
      <c r="D629" s="1428"/>
      <c r="E629" s="1430"/>
      <c r="F629" s="1430"/>
      <c r="G629" s="1501"/>
    </row>
    <row r="630" spans="1:12" x14ac:dyDescent="0.25">
      <c r="A630" s="1565" t="s">
        <v>2721</v>
      </c>
      <c r="B630" s="1566" t="s">
        <v>1016</v>
      </c>
      <c r="C630" s="1431"/>
      <c r="D630" s="1428"/>
      <c r="E630" s="1430"/>
      <c r="F630" s="1430"/>
      <c r="G630" s="1501"/>
    </row>
    <row r="631" spans="1:12" ht="15.75" thickBot="1" x14ac:dyDescent="0.3">
      <c r="A631" s="1565"/>
      <c r="B631" s="1566" t="s">
        <v>1016</v>
      </c>
      <c r="C631" s="1555">
        <v>1</v>
      </c>
      <c r="D631" s="1567" t="s">
        <v>1939</v>
      </c>
      <c r="E631" s="1568">
        <v>170000</v>
      </c>
      <c r="F631" s="1568">
        <f>E631*C631</f>
        <v>170000</v>
      </c>
      <c r="G631" s="1502"/>
    </row>
    <row r="632" spans="1:12" ht="15.75" thickBot="1" x14ac:dyDescent="0.3">
      <c r="A632" s="1565"/>
      <c r="B632" s="1569"/>
      <c r="C632" s="2030" t="s">
        <v>847</v>
      </c>
      <c r="D632" s="2031"/>
      <c r="E632" s="2032"/>
      <c r="F632" s="1570">
        <f>F631</f>
        <v>170000</v>
      </c>
      <c r="G632" s="1502"/>
    </row>
    <row r="633" spans="1:12" x14ac:dyDescent="0.25">
      <c r="A633" s="1565" t="s">
        <v>2722</v>
      </c>
      <c r="B633" s="1566" t="s">
        <v>2636</v>
      </c>
      <c r="C633" s="1571"/>
      <c r="D633" s="1572"/>
      <c r="E633" s="1564"/>
      <c r="F633" s="1564"/>
      <c r="G633" s="1501"/>
    </row>
    <row r="634" spans="1:12" ht="15.75" thickBot="1" x14ac:dyDescent="0.3">
      <c r="A634" s="1574"/>
      <c r="B634" s="1575" t="s">
        <v>2638</v>
      </c>
      <c r="C634" s="1576">
        <v>69</v>
      </c>
      <c r="D634" s="1328" t="s">
        <v>419</v>
      </c>
      <c r="E634" s="1429">
        <v>130000</v>
      </c>
      <c r="F634" s="1430">
        <f>E634*C634</f>
        <v>8970000</v>
      </c>
      <c r="G634" s="1502"/>
    </row>
    <row r="635" spans="1:12" ht="15.75" thickBot="1" x14ac:dyDescent="0.3">
      <c r="A635" s="1574"/>
      <c r="B635" s="1579"/>
      <c r="C635" s="2033" t="s">
        <v>847</v>
      </c>
      <c r="D635" s="2034"/>
      <c r="E635" s="2035"/>
      <c r="F635" s="1580">
        <f>F634</f>
        <v>8970000</v>
      </c>
      <c r="G635" s="1502"/>
    </row>
    <row r="636" spans="1:12" ht="15.75" thickBot="1" x14ac:dyDescent="0.3">
      <c r="A636" s="1592"/>
      <c r="B636" s="1593"/>
      <c r="C636" s="1594"/>
      <c r="D636" s="1595"/>
      <c r="E636" s="1596"/>
      <c r="F636" s="1596"/>
      <c r="G636" s="1592"/>
    </row>
    <row r="637" spans="1:12" ht="15.75" thickBot="1" x14ac:dyDescent="0.3">
      <c r="A637" s="1597"/>
      <c r="B637" s="2039" t="s">
        <v>26</v>
      </c>
      <c r="C637" s="2040"/>
      <c r="D637" s="2040"/>
      <c r="E637" s="2041"/>
      <c r="F637" s="1598"/>
      <c r="G637" s="1591" t="s">
        <v>1711</v>
      </c>
      <c r="L637" s="32">
        <f>F637</f>
        <v>0</v>
      </c>
    </row>
    <row r="640" spans="1:12" x14ac:dyDescent="0.25">
      <c r="A640" s="1933" t="s">
        <v>0</v>
      </c>
      <c r="B640" s="1933"/>
      <c r="C640" s="1933"/>
      <c r="D640" s="1933"/>
      <c r="E640" s="1933"/>
      <c r="F640" s="1933"/>
      <c r="G640" s="1933"/>
    </row>
    <row r="641" spans="1:7" x14ac:dyDescent="0.25">
      <c r="A641" s="1933" t="s">
        <v>1</v>
      </c>
      <c r="B641" s="1933"/>
      <c r="C641" s="1933"/>
      <c r="D641" s="1933"/>
      <c r="E641" s="1933"/>
      <c r="F641" s="1933"/>
      <c r="G641" s="1933"/>
    </row>
    <row r="642" spans="1:7" x14ac:dyDescent="0.25">
      <c r="A642" s="1933" t="s">
        <v>1769</v>
      </c>
      <c r="B642" s="1933"/>
      <c r="C642" s="1933"/>
      <c r="D642" s="1933"/>
      <c r="E642" s="1933"/>
      <c r="F642" s="1933"/>
      <c r="G642" s="1933"/>
    </row>
    <row r="643" spans="1:7" x14ac:dyDescent="0.25">
      <c r="A643" s="1510"/>
      <c r="B643" s="1510"/>
      <c r="C643" s="1419"/>
      <c r="D643" s="1419"/>
      <c r="E643" s="1510"/>
      <c r="F643" s="1510"/>
      <c r="G643" s="1510"/>
    </row>
    <row r="644" spans="1:7" x14ac:dyDescent="0.25">
      <c r="A644" s="1422" t="s">
        <v>1083</v>
      </c>
      <c r="B644" s="1422" t="s">
        <v>2631</v>
      </c>
      <c r="C644" s="1555"/>
      <c r="D644" s="1555"/>
      <c r="E644" s="1511"/>
      <c r="F644" s="1511"/>
      <c r="G644" s="1555"/>
    </row>
    <row r="645" spans="1:7" x14ac:dyDescent="0.25">
      <c r="A645" s="1422" t="s">
        <v>1228</v>
      </c>
      <c r="B645" s="1422" t="s">
        <v>2210</v>
      </c>
      <c r="C645" s="1555"/>
      <c r="D645" s="1555"/>
      <c r="E645" s="1512"/>
      <c r="F645" s="1420" t="s">
        <v>6</v>
      </c>
      <c r="G645" s="1420" t="s">
        <v>2632</v>
      </c>
    </row>
    <row r="646" spans="1:7" ht="48" x14ac:dyDescent="0.25">
      <c r="A646" s="1558" t="s">
        <v>754</v>
      </c>
      <c r="B646" s="1559" t="s">
        <v>2645</v>
      </c>
      <c r="C646" s="1560"/>
      <c r="D646" s="1560"/>
      <c r="E646" s="1559"/>
      <c r="F646" s="1559" t="s">
        <v>329</v>
      </c>
      <c r="G646" s="1558" t="s">
        <v>63</v>
      </c>
    </row>
    <row r="647" spans="1:7" x14ac:dyDescent="0.25">
      <c r="A647" s="1422" t="s">
        <v>545</v>
      </c>
      <c r="B647" s="1422" t="s">
        <v>2646</v>
      </c>
      <c r="C647" s="1555"/>
      <c r="D647" s="1555"/>
      <c r="E647" s="1555"/>
      <c r="F647" s="1555"/>
      <c r="G647" s="1555"/>
    </row>
    <row r="648" spans="1:7" x14ac:dyDescent="0.25">
      <c r="A648" s="1510" t="s">
        <v>422</v>
      </c>
      <c r="B648" s="1510" t="s">
        <v>546</v>
      </c>
      <c r="C648" s="1419"/>
      <c r="D648" s="1419"/>
      <c r="E648" s="1510"/>
      <c r="F648" s="1510"/>
      <c r="G648" s="1510"/>
    </row>
    <row r="649" spans="1:7" x14ac:dyDescent="0.25">
      <c r="A649" s="2008" t="s">
        <v>503</v>
      </c>
      <c r="B649" s="2008"/>
      <c r="C649" s="1555"/>
      <c r="D649" s="1555"/>
      <c r="E649" s="1511"/>
      <c r="F649" s="1421"/>
      <c r="G649" s="1510"/>
    </row>
    <row r="650" spans="1:7" x14ac:dyDescent="0.25">
      <c r="A650" s="1555"/>
      <c r="B650" s="1555"/>
      <c r="C650" s="1555"/>
      <c r="D650" s="1555"/>
      <c r="E650" s="1555"/>
      <c r="F650" s="1555"/>
      <c r="G650" s="1510"/>
    </row>
    <row r="651" spans="1:7" ht="24" x14ac:dyDescent="0.25">
      <c r="A651" s="1326" t="s">
        <v>30</v>
      </c>
      <c r="B651" s="1326" t="s">
        <v>11</v>
      </c>
      <c r="C651" s="2028" t="s">
        <v>12</v>
      </c>
      <c r="D651" s="2029"/>
      <c r="E651" s="1561" t="s">
        <v>13</v>
      </c>
      <c r="F651" s="1425" t="s">
        <v>14</v>
      </c>
      <c r="G651" s="1438" t="s">
        <v>2635</v>
      </c>
    </row>
    <row r="652" spans="1:7" x14ac:dyDescent="0.25">
      <c r="A652" s="1325">
        <v>1</v>
      </c>
      <c r="B652" s="1325">
        <v>2</v>
      </c>
      <c r="C652" s="1853">
        <v>3</v>
      </c>
      <c r="D652" s="1854"/>
      <c r="E652" s="1562">
        <v>4</v>
      </c>
      <c r="F652" s="1327">
        <v>5</v>
      </c>
      <c r="G652" s="1330">
        <v>6</v>
      </c>
    </row>
    <row r="653" spans="1:7" x14ac:dyDescent="0.25">
      <c r="A653" s="1439" t="s">
        <v>2718</v>
      </c>
      <c r="B653" s="1563" t="s">
        <v>424</v>
      </c>
      <c r="C653" s="1431"/>
      <c r="D653" s="1428"/>
      <c r="E653" s="1564"/>
      <c r="F653" s="1564"/>
      <c r="G653" s="1501"/>
    </row>
    <row r="654" spans="1:7" x14ac:dyDescent="0.25">
      <c r="A654" s="1565" t="s">
        <v>2720</v>
      </c>
      <c r="B654" s="1566" t="s">
        <v>2719</v>
      </c>
      <c r="C654" s="1431"/>
      <c r="D654" s="1428"/>
      <c r="E654" s="1430"/>
      <c r="F654" s="1430"/>
      <c r="G654" s="1501"/>
    </row>
    <row r="655" spans="1:7" x14ac:dyDescent="0.25">
      <c r="A655" s="1565" t="s">
        <v>2721</v>
      </c>
      <c r="B655" s="1566" t="s">
        <v>1016</v>
      </c>
      <c r="C655" s="1431"/>
      <c r="D655" s="1428"/>
      <c r="E655" s="1430"/>
      <c r="F655" s="1430"/>
      <c r="G655" s="1501"/>
    </row>
    <row r="656" spans="1:7" ht="15.75" thickBot="1" x14ac:dyDescent="0.3">
      <c r="A656" s="1565"/>
      <c r="B656" s="1566" t="s">
        <v>1016</v>
      </c>
      <c r="C656" s="1555">
        <v>1</v>
      </c>
      <c r="D656" s="1567" t="s">
        <v>1939</v>
      </c>
      <c r="E656" s="1568">
        <v>1000000</v>
      </c>
      <c r="F656" s="1568">
        <f>E656*C656</f>
        <v>1000000</v>
      </c>
      <c r="G656" s="1502"/>
    </row>
    <row r="657" spans="1:12" ht="15.75" thickBot="1" x14ac:dyDescent="0.3">
      <c r="A657" s="1565"/>
      <c r="B657" s="1569"/>
      <c r="C657" s="2030" t="s">
        <v>847</v>
      </c>
      <c r="D657" s="2031"/>
      <c r="E657" s="2032"/>
      <c r="F657" s="1570"/>
      <c r="G657" s="1502"/>
    </row>
    <row r="658" spans="1:12" x14ac:dyDescent="0.25">
      <c r="A658" s="1565" t="s">
        <v>2722</v>
      </c>
      <c r="B658" s="1566" t="s">
        <v>2636</v>
      </c>
      <c r="C658" s="1571"/>
      <c r="D658" s="1572"/>
      <c r="E658" s="1564"/>
      <c r="F658" s="1564"/>
      <c r="G658" s="1501"/>
    </row>
    <row r="659" spans="1:12" x14ac:dyDescent="0.25">
      <c r="A659" s="1565"/>
      <c r="B659" s="1566" t="s">
        <v>2637</v>
      </c>
      <c r="C659" s="1571">
        <v>0</v>
      </c>
      <c r="D659" s="1572" t="s">
        <v>419</v>
      </c>
      <c r="E659" s="1429">
        <v>93668</v>
      </c>
      <c r="F659" s="1573">
        <f>E659*C659</f>
        <v>0</v>
      </c>
      <c r="G659" s="1502"/>
    </row>
    <row r="660" spans="1:12" x14ac:dyDescent="0.25">
      <c r="A660" s="1574"/>
      <c r="B660" s="1575" t="s">
        <v>2638</v>
      </c>
      <c r="C660" s="1576">
        <v>33</v>
      </c>
      <c r="D660" s="1328" t="s">
        <v>419</v>
      </c>
      <c r="E660" s="1429">
        <v>130000</v>
      </c>
      <c r="F660" s="1430">
        <f>E660*C660</f>
        <v>4290000</v>
      </c>
      <c r="G660" s="1502"/>
    </row>
    <row r="661" spans="1:12" ht="15.75" thickBot="1" x14ac:dyDescent="0.3">
      <c r="A661" s="1574"/>
      <c r="B661" s="1575" t="s">
        <v>1489</v>
      </c>
      <c r="C661" s="1577">
        <v>16</v>
      </c>
      <c r="D661" s="1350" t="s">
        <v>419</v>
      </c>
      <c r="E661" s="1578">
        <v>150000</v>
      </c>
      <c r="F661" s="1578">
        <f>E661*C661</f>
        <v>2400000</v>
      </c>
      <c r="G661" s="1502"/>
    </row>
    <row r="662" spans="1:12" ht="15.75" thickBot="1" x14ac:dyDescent="0.3">
      <c r="A662" s="1574"/>
      <c r="B662" s="1579"/>
      <c r="C662" s="2033" t="s">
        <v>847</v>
      </c>
      <c r="D662" s="2034"/>
      <c r="E662" s="2035"/>
      <c r="F662" s="1580">
        <f>F661+F660+F659</f>
        <v>6690000</v>
      </c>
      <c r="G662" s="1502"/>
    </row>
    <row r="663" spans="1:12" x14ac:dyDescent="0.25">
      <c r="A663" s="1565" t="s">
        <v>2723</v>
      </c>
      <c r="B663" s="1502" t="s">
        <v>2639</v>
      </c>
      <c r="C663" s="1571"/>
      <c r="D663" s="1572"/>
      <c r="E663" s="1581"/>
      <c r="F663" s="1581"/>
      <c r="G663" s="1502"/>
    </row>
    <row r="664" spans="1:12" ht="16.5" x14ac:dyDescent="0.25">
      <c r="A664" s="1574"/>
      <c r="B664" s="1364" t="s">
        <v>2276</v>
      </c>
      <c r="C664" s="1599">
        <v>34.010000000000005</v>
      </c>
      <c r="D664" s="1584" t="s">
        <v>276</v>
      </c>
      <c r="E664" s="1600">
        <v>1700000</v>
      </c>
      <c r="F664" s="1429">
        <f>E664*C664</f>
        <v>57817000.000000007</v>
      </c>
      <c r="G664" s="1502"/>
    </row>
    <row r="665" spans="1:12" ht="17.25" thickBot="1" x14ac:dyDescent="0.3">
      <c r="A665" s="1574"/>
      <c r="B665" s="1366" t="s">
        <v>2277</v>
      </c>
      <c r="C665" s="1599">
        <v>51.015000000000001</v>
      </c>
      <c r="D665" s="1584" t="s">
        <v>2647</v>
      </c>
      <c r="E665" s="1429">
        <v>35000</v>
      </c>
      <c r="F665" s="1429">
        <f>E665*C665</f>
        <v>1785525</v>
      </c>
      <c r="G665" s="1502"/>
    </row>
    <row r="666" spans="1:12" ht="15.75" thickBot="1" x14ac:dyDescent="0.3">
      <c r="A666" s="1504"/>
      <c r="B666" s="1601"/>
      <c r="C666" s="2036" t="s">
        <v>847</v>
      </c>
      <c r="D666" s="2053"/>
      <c r="E666" s="2054"/>
      <c r="F666" s="1590">
        <f>SUM(F664:F665)</f>
        <v>59602525.000000007</v>
      </c>
      <c r="G666" s="1591"/>
    </row>
    <row r="667" spans="1:12" ht="15.75" thickBot="1" x14ac:dyDescent="0.3">
      <c r="A667" s="1592"/>
      <c r="B667" s="1593"/>
      <c r="C667" s="1594"/>
      <c r="D667" s="1595"/>
      <c r="E667" s="1596"/>
      <c r="F667" s="1596"/>
      <c r="G667" s="1592"/>
    </row>
    <row r="668" spans="1:12" ht="15.75" thickBot="1" x14ac:dyDescent="0.3">
      <c r="A668" s="1597"/>
      <c r="B668" s="2039" t="s">
        <v>26</v>
      </c>
      <c r="C668" s="2040"/>
      <c r="D668" s="2040"/>
      <c r="E668" s="2041"/>
      <c r="F668" s="1598"/>
      <c r="G668" s="1591" t="s">
        <v>1711</v>
      </c>
      <c r="L668" s="32"/>
    </row>
    <row r="670" spans="1:12" x14ac:dyDescent="0.25">
      <c r="A670" s="1933" t="s">
        <v>0</v>
      </c>
      <c r="B670" s="1933"/>
      <c r="C670" s="1933"/>
      <c r="D670" s="1933"/>
      <c r="E670" s="1933"/>
      <c r="F670" s="1933"/>
      <c r="G670" s="1933"/>
    </row>
    <row r="671" spans="1:12" x14ac:dyDescent="0.25">
      <c r="A671" s="1933" t="s">
        <v>1</v>
      </c>
      <c r="B671" s="1933"/>
      <c r="C671" s="1933"/>
      <c r="D671" s="1933"/>
      <c r="E671" s="1933"/>
      <c r="F671" s="1933"/>
      <c r="G671" s="1933"/>
    </row>
    <row r="672" spans="1:12" x14ac:dyDescent="0.25">
      <c r="A672" s="1933" t="s">
        <v>1769</v>
      </c>
      <c r="B672" s="1933"/>
      <c r="C672" s="1933"/>
      <c r="D672" s="1933"/>
      <c r="E672" s="1933"/>
      <c r="F672" s="1933"/>
      <c r="G672" s="1933"/>
    </row>
    <row r="673" spans="1:7" x14ac:dyDescent="0.25">
      <c r="A673" s="1510"/>
      <c r="B673" s="1510"/>
      <c r="C673" s="1419"/>
      <c r="D673" s="1419"/>
      <c r="E673" s="1510"/>
      <c r="F673" s="1510"/>
      <c r="G673" s="1510"/>
    </row>
    <row r="674" spans="1:7" x14ac:dyDescent="0.25">
      <c r="A674" s="1422" t="s">
        <v>1083</v>
      </c>
      <c r="B674" s="1422" t="s">
        <v>2631</v>
      </c>
      <c r="C674" s="1555"/>
      <c r="D674" s="1555"/>
      <c r="E674" s="1511"/>
      <c r="F674" s="1511"/>
      <c r="G674" s="1555"/>
    </row>
    <row r="675" spans="1:7" x14ac:dyDescent="0.25">
      <c r="A675" s="1422" t="s">
        <v>1228</v>
      </c>
      <c r="B675" s="1422" t="s">
        <v>2210</v>
      </c>
      <c r="C675" s="1555"/>
      <c r="D675" s="1555"/>
      <c r="E675" s="1512"/>
      <c r="F675" s="1420" t="s">
        <v>6</v>
      </c>
      <c r="G675" s="1420" t="s">
        <v>2632</v>
      </c>
    </row>
    <row r="676" spans="1:7" ht="48" x14ac:dyDescent="0.25">
      <c r="A676" s="1558" t="s">
        <v>754</v>
      </c>
      <c r="B676" s="1559" t="s">
        <v>2648</v>
      </c>
      <c r="C676" s="1560"/>
      <c r="D676" s="1560"/>
      <c r="E676" s="1559"/>
      <c r="F676" s="1559" t="s">
        <v>329</v>
      </c>
      <c r="G676" s="1558" t="s">
        <v>63</v>
      </c>
    </row>
    <row r="677" spans="1:7" x14ac:dyDescent="0.25">
      <c r="A677" s="1422" t="s">
        <v>545</v>
      </c>
      <c r="B677" s="1422" t="s">
        <v>2649</v>
      </c>
      <c r="C677" s="1555"/>
      <c r="D677" s="1555"/>
      <c r="E677" s="1555"/>
      <c r="F677" s="1555"/>
      <c r="G677" s="1555"/>
    </row>
    <row r="678" spans="1:7" x14ac:dyDescent="0.25">
      <c r="A678" s="1510" t="s">
        <v>422</v>
      </c>
      <c r="B678" s="1510" t="s">
        <v>546</v>
      </c>
      <c r="C678" s="1419"/>
      <c r="D678" s="1419"/>
      <c r="E678" s="1510"/>
      <c r="F678" s="1510"/>
      <c r="G678" s="1510"/>
    </row>
    <row r="679" spans="1:7" x14ac:dyDescent="0.25">
      <c r="A679" s="2008" t="s">
        <v>503</v>
      </c>
      <c r="B679" s="2008"/>
      <c r="C679" s="1555"/>
      <c r="D679" s="1555"/>
      <c r="E679" s="1511"/>
      <c r="F679" s="1421"/>
      <c r="G679" s="1510"/>
    </row>
    <row r="680" spans="1:7" x14ac:dyDescent="0.25">
      <c r="A680" s="1555"/>
      <c r="B680" s="1555"/>
      <c r="C680" s="1555"/>
      <c r="D680" s="1555"/>
      <c r="E680" s="1555"/>
      <c r="F680" s="1555"/>
      <c r="G680" s="1510"/>
    </row>
    <row r="681" spans="1:7" ht="24" x14ac:dyDescent="0.25">
      <c r="A681" s="1326" t="s">
        <v>30</v>
      </c>
      <c r="B681" s="1326" t="s">
        <v>11</v>
      </c>
      <c r="C681" s="2028" t="s">
        <v>12</v>
      </c>
      <c r="D681" s="2029"/>
      <c r="E681" s="1561" t="s">
        <v>13</v>
      </c>
      <c r="F681" s="1425" t="s">
        <v>14</v>
      </c>
      <c r="G681" s="1438" t="s">
        <v>2635</v>
      </c>
    </row>
    <row r="682" spans="1:7" x14ac:dyDescent="0.25">
      <c r="A682" s="1325">
        <v>1</v>
      </c>
      <c r="B682" s="1325">
        <v>2</v>
      </c>
      <c r="C682" s="1853">
        <v>3</v>
      </c>
      <c r="D682" s="1854"/>
      <c r="E682" s="1562">
        <v>4</v>
      </c>
      <c r="F682" s="1327">
        <v>5</v>
      </c>
      <c r="G682" s="1330">
        <v>6</v>
      </c>
    </row>
    <row r="683" spans="1:7" x14ac:dyDescent="0.25">
      <c r="A683" s="1439" t="s">
        <v>2718</v>
      </c>
      <c r="B683" s="1563" t="s">
        <v>424</v>
      </c>
      <c r="C683" s="1431"/>
      <c r="D683" s="1428"/>
      <c r="E683" s="1564"/>
      <c r="F683" s="1564"/>
      <c r="G683" s="1501"/>
    </row>
    <row r="684" spans="1:7" x14ac:dyDescent="0.25">
      <c r="A684" s="1565" t="s">
        <v>2720</v>
      </c>
      <c r="B684" s="1566" t="s">
        <v>2719</v>
      </c>
      <c r="C684" s="1431"/>
      <c r="D684" s="1428"/>
      <c r="E684" s="1430"/>
      <c r="F684" s="1430"/>
      <c r="G684" s="1501"/>
    </row>
    <row r="685" spans="1:7" x14ac:dyDescent="0.25">
      <c r="A685" s="1565" t="s">
        <v>2721</v>
      </c>
      <c r="B685" s="1566" t="s">
        <v>1016</v>
      </c>
      <c r="C685" s="1431"/>
      <c r="D685" s="1428"/>
      <c r="E685" s="1430"/>
      <c r="F685" s="1430"/>
      <c r="G685" s="1501"/>
    </row>
    <row r="686" spans="1:7" ht="15.75" thickBot="1" x14ac:dyDescent="0.3">
      <c r="A686" s="1565"/>
      <c r="B686" s="1566" t="s">
        <v>1016</v>
      </c>
      <c r="C686" s="1555">
        <v>1</v>
      </c>
      <c r="D686" s="1567" t="s">
        <v>1939</v>
      </c>
      <c r="E686" s="1568">
        <v>1000000</v>
      </c>
      <c r="F686" s="1568">
        <f>E686*C686</f>
        <v>1000000</v>
      </c>
      <c r="G686" s="1502"/>
    </row>
    <row r="687" spans="1:7" ht="15.75" thickBot="1" x14ac:dyDescent="0.3">
      <c r="A687" s="1565"/>
      <c r="B687" s="1569"/>
      <c r="C687" s="2030" t="s">
        <v>847</v>
      </c>
      <c r="D687" s="2031"/>
      <c r="E687" s="2032"/>
      <c r="F687" s="1570"/>
      <c r="G687" s="1502"/>
    </row>
    <row r="688" spans="1:7" x14ac:dyDescent="0.25">
      <c r="A688" s="1565" t="s">
        <v>2722</v>
      </c>
      <c r="B688" s="1566" t="s">
        <v>2636</v>
      </c>
      <c r="C688" s="1571"/>
      <c r="D688" s="1572"/>
      <c r="E688" s="1564"/>
      <c r="F688" s="1564"/>
      <c r="G688" s="1501"/>
    </row>
    <row r="689" spans="1:12" x14ac:dyDescent="0.25">
      <c r="A689" s="1565"/>
      <c r="B689" s="1566" t="s">
        <v>2637</v>
      </c>
      <c r="C689" s="1571">
        <v>0</v>
      </c>
      <c r="D689" s="1572" t="s">
        <v>419</v>
      </c>
      <c r="E689" s="1429">
        <v>93668</v>
      </c>
      <c r="F689" s="1573">
        <f>E689*C689</f>
        <v>0</v>
      </c>
      <c r="G689" s="1502"/>
    </row>
    <row r="690" spans="1:12" x14ac:dyDescent="0.25">
      <c r="A690" s="1574"/>
      <c r="B690" s="1575" t="s">
        <v>2638</v>
      </c>
      <c r="C690" s="1576">
        <v>50</v>
      </c>
      <c r="D690" s="1328" t="s">
        <v>419</v>
      </c>
      <c r="E690" s="1429">
        <v>130000</v>
      </c>
      <c r="F690" s="1430">
        <f>E690*C690</f>
        <v>6500000</v>
      </c>
      <c r="G690" s="1502"/>
    </row>
    <row r="691" spans="1:12" ht="15.75" thickBot="1" x14ac:dyDescent="0.3">
      <c r="A691" s="1574"/>
      <c r="B691" s="1575" t="s">
        <v>1489</v>
      </c>
      <c r="C691" s="1577">
        <v>24</v>
      </c>
      <c r="D691" s="1350" t="s">
        <v>419</v>
      </c>
      <c r="E691" s="1578">
        <v>150000</v>
      </c>
      <c r="F691" s="1578">
        <f>E691*C691</f>
        <v>3600000</v>
      </c>
      <c r="G691" s="1502"/>
    </row>
    <row r="692" spans="1:12" ht="15.75" thickBot="1" x14ac:dyDescent="0.3">
      <c r="A692" s="1574"/>
      <c r="B692" s="1579"/>
      <c r="C692" s="2033" t="s">
        <v>847</v>
      </c>
      <c r="D692" s="2034"/>
      <c r="E692" s="2035"/>
      <c r="F692" s="1580">
        <f>F691+F690+F689</f>
        <v>10100000</v>
      </c>
      <c r="G692" s="1502"/>
    </row>
    <row r="693" spans="1:12" x14ac:dyDescent="0.25">
      <c r="A693" s="1565" t="s">
        <v>2723</v>
      </c>
      <c r="B693" s="1502" t="s">
        <v>2639</v>
      </c>
      <c r="C693" s="1571"/>
      <c r="D693" s="1572"/>
      <c r="E693" s="1581"/>
      <c r="F693" s="1581"/>
      <c r="G693" s="1502"/>
    </row>
    <row r="694" spans="1:12" ht="16.5" x14ac:dyDescent="0.25">
      <c r="A694" s="1574"/>
      <c r="B694" s="1582" t="s">
        <v>2253</v>
      </c>
      <c r="C694" s="1583">
        <v>16511.739999999998</v>
      </c>
      <c r="D694" s="1584" t="s">
        <v>1494</v>
      </c>
      <c r="E694" s="1347">
        <v>3000</v>
      </c>
      <c r="F694" s="1429">
        <f>E694*C694</f>
        <v>49535219.999999993</v>
      </c>
      <c r="G694" s="1585"/>
    </row>
    <row r="695" spans="1:12" ht="16.5" x14ac:dyDescent="0.25">
      <c r="A695" s="1574"/>
      <c r="B695" s="1586" t="s">
        <v>2266</v>
      </c>
      <c r="C695" s="1583">
        <v>19.447414285714284</v>
      </c>
      <c r="D695" s="1584" t="s">
        <v>843</v>
      </c>
      <c r="E695" s="1347">
        <v>325000</v>
      </c>
      <c r="F695" s="1429">
        <f>E695*C695</f>
        <v>6320409.6428571427</v>
      </c>
      <c r="G695" s="1585"/>
    </row>
    <row r="696" spans="1:12" ht="17.25" thickBot="1" x14ac:dyDescent="0.3">
      <c r="A696" s="1574"/>
      <c r="B696" s="1582" t="s">
        <v>2267</v>
      </c>
      <c r="C696" s="1587">
        <v>30.236725925925921</v>
      </c>
      <c r="D696" s="1588" t="s">
        <v>843</v>
      </c>
      <c r="E696" s="1351">
        <v>350000</v>
      </c>
      <c r="F696" s="1578"/>
      <c r="G696" s="1585"/>
    </row>
    <row r="697" spans="1:12" ht="15.75" thickBot="1" x14ac:dyDescent="0.3">
      <c r="A697" s="1504"/>
      <c r="B697" s="1589"/>
      <c r="C697" s="2036" t="s">
        <v>847</v>
      </c>
      <c r="D697" s="2053"/>
      <c r="E697" s="2054"/>
      <c r="F697" s="1590">
        <f>SUM(F694:F695)</f>
        <v>55855629.642857134</v>
      </c>
      <c r="G697" s="1591"/>
    </row>
    <row r="698" spans="1:12" ht="15.75" thickBot="1" x14ac:dyDescent="0.3">
      <c r="A698" s="1592"/>
      <c r="B698" s="1593"/>
      <c r="C698" s="1594"/>
      <c r="D698" s="1595"/>
      <c r="E698" s="1596"/>
      <c r="F698" s="1596"/>
      <c r="G698" s="1592"/>
    </row>
    <row r="699" spans="1:12" ht="15.75" thickBot="1" x14ac:dyDescent="0.3">
      <c r="A699" s="1597"/>
      <c r="B699" s="2039" t="s">
        <v>26</v>
      </c>
      <c r="C699" s="2040"/>
      <c r="D699" s="2040"/>
      <c r="E699" s="2041"/>
      <c r="F699" s="1598"/>
      <c r="G699" s="1591" t="s">
        <v>1711</v>
      </c>
      <c r="L699" s="32">
        <f>F699</f>
        <v>0</v>
      </c>
    </row>
    <row r="700" spans="1:12" x14ac:dyDescent="0.25">
      <c r="F700" s="32">
        <f>L699+L668+F637+F612+F577</f>
        <v>0</v>
      </c>
    </row>
    <row r="702" spans="1:12" x14ac:dyDescent="0.25">
      <c r="A702" s="1765" t="s">
        <v>0</v>
      </c>
      <c r="B702" s="1765"/>
      <c r="C702" s="1765"/>
      <c r="D702" s="1765"/>
      <c r="E702" s="1765"/>
      <c r="F702" s="1765"/>
      <c r="G702" s="1765"/>
    </row>
    <row r="703" spans="1:12" x14ac:dyDescent="0.25">
      <c r="A703" s="1765" t="s">
        <v>1</v>
      </c>
      <c r="B703" s="1765"/>
      <c r="C703" s="1765"/>
      <c r="D703" s="1765"/>
      <c r="E703" s="1765"/>
      <c r="F703" s="1765"/>
      <c r="G703" s="1765"/>
    </row>
    <row r="704" spans="1:12" x14ac:dyDescent="0.25">
      <c r="A704" s="1765" t="s">
        <v>1769</v>
      </c>
      <c r="B704" s="1765"/>
      <c r="C704" s="1765"/>
      <c r="D704" s="1765"/>
      <c r="E704" s="1765"/>
      <c r="F704" s="1765"/>
      <c r="G704" s="1765"/>
    </row>
    <row r="705" spans="1:14" x14ac:dyDescent="0.25">
      <c r="A705" s="184"/>
      <c r="B705" s="184"/>
      <c r="C705" s="184"/>
      <c r="D705" s="184"/>
      <c r="E705" s="184"/>
      <c r="F705" s="184"/>
      <c r="G705" s="184"/>
    </row>
    <row r="706" spans="1:14" x14ac:dyDescent="0.25">
      <c r="A706" s="263" t="s">
        <v>261</v>
      </c>
      <c r="B706" s="224" t="s">
        <v>441</v>
      </c>
      <c r="C706" s="263"/>
      <c r="D706" s="263"/>
      <c r="E706" s="410"/>
      <c r="F706" s="410"/>
    </row>
    <row r="707" spans="1:14" x14ac:dyDescent="0.25">
      <c r="A707" s="263" t="s">
        <v>262</v>
      </c>
      <c r="B707" s="1003" t="s">
        <v>500</v>
      </c>
      <c r="C707" s="263"/>
      <c r="D707" s="263"/>
      <c r="E707" s="410"/>
      <c r="F707" s="263"/>
    </row>
    <row r="708" spans="1:14" ht="25.5" x14ac:dyDescent="0.25">
      <c r="A708" s="265" t="s">
        <v>263</v>
      </c>
      <c r="B708" s="265" t="s">
        <v>2662</v>
      </c>
      <c r="C708" s="265"/>
      <c r="D708" s="265"/>
      <c r="E708" s="265"/>
      <c r="F708" s="265"/>
    </row>
    <row r="709" spans="1:14" x14ac:dyDescent="0.25">
      <c r="A709" s="226" t="s">
        <v>60</v>
      </c>
      <c r="B709" s="226" t="s">
        <v>61</v>
      </c>
      <c r="C709" s="226"/>
      <c r="D709" s="188"/>
      <c r="E709" s="188"/>
      <c r="F709" s="188"/>
    </row>
    <row r="710" spans="1:14" x14ac:dyDescent="0.25">
      <c r="A710" s="226" t="s">
        <v>62</v>
      </c>
      <c r="B710" s="226" t="s">
        <v>63</v>
      </c>
      <c r="C710" s="226"/>
      <c r="D710" s="1763"/>
      <c r="E710" s="1763"/>
      <c r="F710" s="188"/>
    </row>
    <row r="711" spans="1:14" x14ac:dyDescent="0.25">
      <c r="A711" s="187"/>
      <c r="B711" s="187"/>
      <c r="C711" s="187"/>
      <c r="D711" s="187"/>
      <c r="E711" s="187"/>
      <c r="F711" s="187"/>
    </row>
    <row r="712" spans="1:14" ht="24" x14ac:dyDescent="0.25">
      <c r="A712" s="198" t="s">
        <v>265</v>
      </c>
      <c r="B712" s="198" t="s">
        <v>11</v>
      </c>
      <c r="C712" s="1766" t="s">
        <v>12</v>
      </c>
      <c r="D712" s="1766"/>
      <c r="E712" s="267" t="s">
        <v>13</v>
      </c>
      <c r="F712" s="268" t="s">
        <v>14</v>
      </c>
      <c r="G712" s="34" t="s">
        <v>266</v>
      </c>
    </row>
    <row r="713" spans="1:14" x14ac:dyDescent="0.25">
      <c r="A713" s="198">
        <v>1</v>
      </c>
      <c r="B713" s="198">
        <v>2</v>
      </c>
      <c r="C713" s="1767">
        <v>3</v>
      </c>
      <c r="D713" s="1768"/>
      <c r="E713" s="269">
        <v>4</v>
      </c>
      <c r="F713" s="268">
        <v>5</v>
      </c>
      <c r="G713" s="35">
        <v>6</v>
      </c>
    </row>
    <row r="714" spans="1:14" x14ac:dyDescent="0.25">
      <c r="A714" s="212"/>
      <c r="B714" s="213" t="s">
        <v>2663</v>
      </c>
      <c r="C714" s="205">
        <v>1</v>
      </c>
      <c r="D714" s="206" t="s">
        <v>222</v>
      </c>
      <c r="E714" s="175">
        <v>2000000000</v>
      </c>
      <c r="F714" s="1305">
        <f>E714*C714</f>
        <v>2000000000</v>
      </c>
      <c r="G714" s="222"/>
    </row>
    <row r="715" spans="1:14" x14ac:dyDescent="0.25">
      <c r="A715" s="217"/>
      <c r="B715" s="364"/>
      <c r="C715" s="235"/>
      <c r="D715" s="365"/>
      <c r="E715" s="366"/>
      <c r="F715" s="367"/>
      <c r="G715" s="222"/>
    </row>
    <row r="716" spans="1:14" x14ac:dyDescent="0.25">
      <c r="A716" s="217"/>
      <c r="B716" s="1790" t="s">
        <v>26</v>
      </c>
      <c r="C716" s="1790"/>
      <c r="D716" s="1790"/>
      <c r="E716" s="1790"/>
      <c r="F716" s="368">
        <v>2000000000</v>
      </c>
      <c r="G716" s="222" t="s">
        <v>1845</v>
      </c>
      <c r="N716" s="32">
        <f>F716</f>
        <v>2000000000</v>
      </c>
    </row>
    <row r="718" spans="1:14" x14ac:dyDescent="0.25">
      <c r="A718" s="1762" t="s">
        <v>549</v>
      </c>
      <c r="B718" s="1762"/>
      <c r="C718" s="188" t="s">
        <v>27</v>
      </c>
      <c r="D718" s="1763" t="s">
        <v>1426</v>
      </c>
      <c r="E718" s="1763"/>
      <c r="F718" s="1763"/>
      <c r="G718" s="188"/>
    </row>
    <row r="719" spans="1:14" x14ac:dyDescent="0.25">
      <c r="A719" s="1762" t="s">
        <v>28</v>
      </c>
      <c r="B719" s="1762"/>
      <c r="C719" s="188"/>
      <c r="D719" s="1764" t="s">
        <v>2832</v>
      </c>
      <c r="E719" s="1764"/>
      <c r="F719" s="1764"/>
      <c r="G719" s="188"/>
      <c r="H719" s="36"/>
    </row>
    <row r="720" spans="1:14" x14ac:dyDescent="0.25">
      <c r="A720" s="186"/>
      <c r="B720" s="187"/>
      <c r="C720" s="188"/>
      <c r="D720" s="189"/>
      <c r="E720" s="218"/>
      <c r="F720" s="218"/>
      <c r="G720" s="188"/>
    </row>
    <row r="721" spans="1:7" x14ac:dyDescent="0.25">
      <c r="A721" s="186"/>
      <c r="B721" s="187"/>
      <c r="C721" s="188"/>
      <c r="D721" s="189"/>
      <c r="E721" s="218"/>
      <c r="F721" s="218"/>
      <c r="G721" s="188"/>
    </row>
    <row r="722" spans="1:7" x14ac:dyDescent="0.25">
      <c r="A722" s="1762"/>
      <c r="B722" s="1762"/>
      <c r="C722" s="188"/>
      <c r="D722" s="189"/>
      <c r="E722" s="1762"/>
      <c r="F722" s="1762"/>
      <c r="G722" s="188"/>
    </row>
    <row r="723" spans="1:7" x14ac:dyDescent="0.25">
      <c r="A723" s="1762" t="s">
        <v>29</v>
      </c>
      <c r="B723" s="1762"/>
      <c r="C723" s="188"/>
      <c r="D723" s="1762" t="s">
        <v>2989</v>
      </c>
      <c r="E723" s="1762"/>
      <c r="F723" s="1762"/>
      <c r="G723" s="188"/>
    </row>
    <row r="727" spans="1:7" x14ac:dyDescent="0.25">
      <c r="F727" s="172">
        <f>F716+F699+F668+F637+F612+F577+F538+F502+F458+F395+F327+F296+F259+F216+F177+F100+F48</f>
        <v>2204332300</v>
      </c>
    </row>
  </sheetData>
  <mergeCells count="231">
    <mergeCell ref="A539:B539"/>
    <mergeCell ref="D539:F539"/>
    <mergeCell ref="A540:B540"/>
    <mergeCell ref="D540:F540"/>
    <mergeCell ref="A543:B543"/>
    <mergeCell ref="E543:F543"/>
    <mergeCell ref="A544:B544"/>
    <mergeCell ref="D544:F544"/>
    <mergeCell ref="A718:B718"/>
    <mergeCell ref="D718:F718"/>
    <mergeCell ref="C692:E692"/>
    <mergeCell ref="C697:E697"/>
    <mergeCell ref="B699:E699"/>
    <mergeCell ref="C666:E666"/>
    <mergeCell ref="B668:E668"/>
    <mergeCell ref="A670:G670"/>
    <mergeCell ref="A671:G671"/>
    <mergeCell ref="A672:G672"/>
    <mergeCell ref="A679:B679"/>
    <mergeCell ref="C681:D681"/>
    <mergeCell ref="C682:D682"/>
    <mergeCell ref="C687:E687"/>
    <mergeCell ref="B637:E637"/>
    <mergeCell ref="A640:G640"/>
    <mergeCell ref="A464:B464"/>
    <mergeCell ref="D464:F464"/>
    <mergeCell ref="A503:B503"/>
    <mergeCell ref="D503:F503"/>
    <mergeCell ref="A504:B504"/>
    <mergeCell ref="D504:F504"/>
    <mergeCell ref="A507:B507"/>
    <mergeCell ref="E507:F507"/>
    <mergeCell ref="A508:B508"/>
    <mergeCell ref="D508:F508"/>
    <mergeCell ref="A466:G466"/>
    <mergeCell ref="D473:E473"/>
    <mergeCell ref="C475:D475"/>
    <mergeCell ref="C476:D476"/>
    <mergeCell ref="B502:E502"/>
    <mergeCell ref="A400:B400"/>
    <mergeCell ref="E400:F400"/>
    <mergeCell ref="A401:B401"/>
    <mergeCell ref="D401:F401"/>
    <mergeCell ref="A459:B459"/>
    <mergeCell ref="D459:F459"/>
    <mergeCell ref="A460:B460"/>
    <mergeCell ref="D460:F460"/>
    <mergeCell ref="A463:B463"/>
    <mergeCell ref="E463:F463"/>
    <mergeCell ref="A458:E458"/>
    <mergeCell ref="A402:F402"/>
    <mergeCell ref="A403:F403"/>
    <mergeCell ref="A404:F404"/>
    <mergeCell ref="A329:B329"/>
    <mergeCell ref="D329:F329"/>
    <mergeCell ref="A332:B332"/>
    <mergeCell ref="E332:F332"/>
    <mergeCell ref="A333:B333"/>
    <mergeCell ref="D333:F333"/>
    <mergeCell ref="A396:B396"/>
    <mergeCell ref="D396:F396"/>
    <mergeCell ref="A397:B397"/>
    <mergeCell ref="D397:F397"/>
    <mergeCell ref="A334:F334"/>
    <mergeCell ref="A297:B297"/>
    <mergeCell ref="D297:F297"/>
    <mergeCell ref="A298:B298"/>
    <mergeCell ref="D298:F298"/>
    <mergeCell ref="A301:B301"/>
    <mergeCell ref="E301:F301"/>
    <mergeCell ref="A302:B302"/>
    <mergeCell ref="D302:F302"/>
    <mergeCell ref="A328:B328"/>
    <mergeCell ref="D328:F328"/>
    <mergeCell ref="A305:F305"/>
    <mergeCell ref="A306:F306"/>
    <mergeCell ref="D223:F223"/>
    <mergeCell ref="A260:B260"/>
    <mergeCell ref="D260:F260"/>
    <mergeCell ref="A261:B261"/>
    <mergeCell ref="D261:F261"/>
    <mergeCell ref="A264:B264"/>
    <mergeCell ref="E264:F264"/>
    <mergeCell ref="A265:B265"/>
    <mergeCell ref="D265:F265"/>
    <mergeCell ref="A101:B101"/>
    <mergeCell ref="D101:F101"/>
    <mergeCell ref="A102:B102"/>
    <mergeCell ref="D102:F102"/>
    <mergeCell ref="A105:B105"/>
    <mergeCell ref="E105:F105"/>
    <mergeCell ref="A106:B106"/>
    <mergeCell ref="D106:F106"/>
    <mergeCell ref="A179:B179"/>
    <mergeCell ref="D179:F179"/>
    <mergeCell ref="A110:G110"/>
    <mergeCell ref="A111:G111"/>
    <mergeCell ref="C119:D119"/>
    <mergeCell ref="C120:D120"/>
    <mergeCell ref="B148:E148"/>
    <mergeCell ref="A150:G150"/>
    <mergeCell ref="A151:G151"/>
    <mergeCell ref="A152:G152"/>
    <mergeCell ref="A641:G641"/>
    <mergeCell ref="A642:G642"/>
    <mergeCell ref="A649:B649"/>
    <mergeCell ref="C651:D651"/>
    <mergeCell ref="C652:D652"/>
    <mergeCell ref="C657:E657"/>
    <mergeCell ref="C662:E662"/>
    <mergeCell ref="B612:E612"/>
    <mergeCell ref="A615:G615"/>
    <mergeCell ref="A616:G616"/>
    <mergeCell ref="A617:G617"/>
    <mergeCell ref="A624:B624"/>
    <mergeCell ref="C626:D626"/>
    <mergeCell ref="C627:D627"/>
    <mergeCell ref="C632:E632"/>
    <mergeCell ref="C635:E635"/>
    <mergeCell ref="A583:G583"/>
    <mergeCell ref="A584:G584"/>
    <mergeCell ref="A585:G585"/>
    <mergeCell ref="A592:B592"/>
    <mergeCell ref="C594:D594"/>
    <mergeCell ref="C595:D595"/>
    <mergeCell ref="C600:E600"/>
    <mergeCell ref="C605:E605"/>
    <mergeCell ref="C610:E610"/>
    <mergeCell ref="B538:E538"/>
    <mergeCell ref="C236:D236"/>
    <mergeCell ref="A59:G59"/>
    <mergeCell ref="C67:D67"/>
    <mergeCell ref="C68:D68"/>
    <mergeCell ref="B100:E100"/>
    <mergeCell ref="A109:G109"/>
    <mergeCell ref="A227:G227"/>
    <mergeCell ref="A228:G228"/>
    <mergeCell ref="A229:G229"/>
    <mergeCell ref="C315:D315"/>
    <mergeCell ref="B327:E327"/>
    <mergeCell ref="C237:D237"/>
    <mergeCell ref="A467:G467"/>
    <mergeCell ref="B407:D407"/>
    <mergeCell ref="C411:D411"/>
    <mergeCell ref="C521:D521"/>
    <mergeCell ref="A307:F307"/>
    <mergeCell ref="C314:D314"/>
    <mergeCell ref="A510:G510"/>
    <mergeCell ref="A511:G511"/>
    <mergeCell ref="A512:G512"/>
    <mergeCell ref="D518:E518"/>
    <mergeCell ref="C520:D520"/>
    <mergeCell ref="F579:G579"/>
    <mergeCell ref="A547:G547"/>
    <mergeCell ref="A548:G548"/>
    <mergeCell ref="A549:G549"/>
    <mergeCell ref="A556:B556"/>
    <mergeCell ref="C558:D558"/>
    <mergeCell ref="C559:D559"/>
    <mergeCell ref="C564:E564"/>
    <mergeCell ref="C569:E569"/>
    <mergeCell ref="C575:E575"/>
    <mergeCell ref="B577:E577"/>
    <mergeCell ref="C197:D197"/>
    <mergeCell ref="C196:D196"/>
    <mergeCell ref="A187:G187"/>
    <mergeCell ref="C160:D160"/>
    <mergeCell ref="C161:D161"/>
    <mergeCell ref="B177:E177"/>
    <mergeCell ref="A180:B180"/>
    <mergeCell ref="D180:F180"/>
    <mergeCell ref="A183:B183"/>
    <mergeCell ref="E183:F183"/>
    <mergeCell ref="A184:B184"/>
    <mergeCell ref="D184:F184"/>
    <mergeCell ref="A188:G188"/>
    <mergeCell ref="A189:G189"/>
    <mergeCell ref="B216:E216"/>
    <mergeCell ref="A218:B218"/>
    <mergeCell ref="D218:F218"/>
    <mergeCell ref="A219:B219"/>
    <mergeCell ref="D219:F219"/>
    <mergeCell ref="A222:B222"/>
    <mergeCell ref="E222:F222"/>
    <mergeCell ref="A223:B223"/>
    <mergeCell ref="A465:G465"/>
    <mergeCell ref="C278:D278"/>
    <mergeCell ref="B296:E296"/>
    <mergeCell ref="B259:E259"/>
    <mergeCell ref="A335:F335"/>
    <mergeCell ref="A336:F336"/>
    <mergeCell ref="B339:D339"/>
    <mergeCell ref="C343:D343"/>
    <mergeCell ref="C344:D344"/>
    <mergeCell ref="A395:E395"/>
    <mergeCell ref="C412:D412"/>
    <mergeCell ref="A267:F267"/>
    <mergeCell ref="A268:F268"/>
    <mergeCell ref="A269:F269"/>
    <mergeCell ref="D275:E275"/>
    <mergeCell ref="C277:D277"/>
    <mergeCell ref="A1:G1"/>
    <mergeCell ref="A2:G2"/>
    <mergeCell ref="A3:G3"/>
    <mergeCell ref="A9:B9"/>
    <mergeCell ref="C10:D10"/>
    <mergeCell ref="C11:D11"/>
    <mergeCell ref="B48:E48"/>
    <mergeCell ref="A57:G57"/>
    <mergeCell ref="A58:G58"/>
    <mergeCell ref="A49:B49"/>
    <mergeCell ref="D49:F49"/>
    <mergeCell ref="A50:B50"/>
    <mergeCell ref="D50:F50"/>
    <mergeCell ref="A53:B53"/>
    <mergeCell ref="E53:F53"/>
    <mergeCell ref="A54:B54"/>
    <mergeCell ref="D54:F54"/>
    <mergeCell ref="A722:B722"/>
    <mergeCell ref="E722:F722"/>
    <mergeCell ref="A723:B723"/>
    <mergeCell ref="D723:F723"/>
    <mergeCell ref="A702:G702"/>
    <mergeCell ref="A703:G703"/>
    <mergeCell ref="A704:G704"/>
    <mergeCell ref="D710:E710"/>
    <mergeCell ref="C712:D712"/>
    <mergeCell ref="C713:D713"/>
    <mergeCell ref="B716:E716"/>
    <mergeCell ref="A719:B719"/>
    <mergeCell ref="D719:F71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topLeftCell="A15" zoomScale="140" zoomScaleNormal="140" workbookViewId="0">
      <selection activeCell="F22" sqref="F22"/>
    </sheetView>
  </sheetViews>
  <sheetFormatPr defaultRowHeight="15" x14ac:dyDescent="0.25"/>
  <cols>
    <col min="1" max="1" width="12.28515625" customWidth="1"/>
    <col min="2" max="2" width="26.5703125" customWidth="1"/>
    <col min="3" max="3" width="6" customWidth="1"/>
    <col min="4" max="4" width="6.140625" customWidth="1"/>
    <col min="5" max="5" width="14.42578125" customWidth="1"/>
    <col min="6" max="6" width="17.28515625" customWidth="1"/>
    <col min="7" max="7" width="7.7109375" customWidth="1"/>
    <col min="10" max="10" width="15.28515625" bestFit="1" customWidth="1"/>
  </cols>
  <sheetData>
    <row r="1" spans="1:10" x14ac:dyDescent="0.25">
      <c r="A1" s="1813" t="s">
        <v>0</v>
      </c>
      <c r="B1" s="1813"/>
      <c r="C1" s="1813"/>
      <c r="D1" s="1813"/>
      <c r="E1" s="1813"/>
      <c r="F1" s="1813"/>
      <c r="G1" s="1813"/>
      <c r="J1" t="s">
        <v>1711</v>
      </c>
    </row>
    <row r="2" spans="1:10" x14ac:dyDescent="0.25">
      <c r="A2" s="1813" t="s">
        <v>1</v>
      </c>
      <c r="B2" s="1813"/>
      <c r="C2" s="1813"/>
      <c r="D2" s="1813"/>
      <c r="E2" s="1813"/>
      <c r="F2" s="1813"/>
      <c r="G2" s="1813"/>
      <c r="J2" s="32">
        <f>J18</f>
        <v>158400000</v>
      </c>
    </row>
    <row r="3" spans="1:10" x14ac:dyDescent="0.25">
      <c r="A3" s="1813" t="s">
        <v>1769</v>
      </c>
      <c r="B3" s="1813"/>
      <c r="C3" s="1813"/>
      <c r="D3" s="1813"/>
      <c r="E3" s="1813"/>
      <c r="F3" s="1813"/>
      <c r="G3" s="1813"/>
    </row>
    <row r="4" spans="1:10" x14ac:dyDescent="0.25">
      <c r="A4" s="300"/>
      <c r="B4" s="300"/>
      <c r="C4" s="300"/>
      <c r="D4" s="300"/>
      <c r="E4" s="300"/>
      <c r="F4" s="300"/>
      <c r="G4" s="300"/>
    </row>
    <row r="5" spans="1:10" x14ac:dyDescent="0.25">
      <c r="A5" s="771" t="s">
        <v>261</v>
      </c>
      <c r="B5" s="307" t="s">
        <v>1707</v>
      </c>
      <c r="C5" s="771"/>
      <c r="D5" s="771"/>
      <c r="E5" s="825"/>
      <c r="F5" s="825"/>
      <c r="G5" s="223"/>
    </row>
    <row r="6" spans="1:10" x14ac:dyDescent="0.25">
      <c r="A6" s="771" t="s">
        <v>262</v>
      </c>
      <c r="B6" s="339" t="s">
        <v>1708</v>
      </c>
      <c r="C6" s="771"/>
      <c r="D6" s="771"/>
      <c r="E6" s="825"/>
      <c r="F6" s="771"/>
      <c r="G6" s="223"/>
    </row>
    <row r="7" spans="1:10" ht="30" x14ac:dyDescent="0.25">
      <c r="A7" s="772" t="s">
        <v>263</v>
      </c>
      <c r="B7" s="772" t="s">
        <v>1709</v>
      </c>
      <c r="C7" s="772"/>
      <c r="D7" s="772"/>
      <c r="E7" s="772"/>
      <c r="F7" s="772"/>
      <c r="G7" s="223"/>
    </row>
    <row r="8" spans="1:10" x14ac:dyDescent="0.25">
      <c r="A8" s="301" t="s">
        <v>60</v>
      </c>
      <c r="B8" s="301" t="s">
        <v>61</v>
      </c>
      <c r="C8" s="301"/>
      <c r="D8" s="301"/>
      <c r="E8" s="301"/>
      <c r="F8" s="301"/>
      <c r="G8" s="223"/>
    </row>
    <row r="9" spans="1:10" x14ac:dyDescent="0.25">
      <c r="A9" s="301" t="s">
        <v>62</v>
      </c>
      <c r="B9" s="301" t="s">
        <v>63</v>
      </c>
      <c r="C9" s="301"/>
      <c r="D9" s="1814"/>
      <c r="E9" s="1814"/>
      <c r="F9" s="301"/>
      <c r="G9" s="223"/>
    </row>
    <row r="10" spans="1:10" x14ac:dyDescent="0.25">
      <c r="A10" s="310"/>
      <c r="B10" s="310"/>
      <c r="C10" s="310"/>
      <c r="D10" s="310"/>
      <c r="E10" s="310"/>
      <c r="F10" s="310"/>
      <c r="G10" s="223"/>
    </row>
    <row r="11" spans="1:10" ht="30" x14ac:dyDescent="0.25">
      <c r="A11" s="311" t="s">
        <v>265</v>
      </c>
      <c r="B11" s="311" t="s">
        <v>11</v>
      </c>
      <c r="C11" s="1815" t="s">
        <v>12</v>
      </c>
      <c r="D11" s="1815"/>
      <c r="E11" s="312" t="s">
        <v>13</v>
      </c>
      <c r="F11" s="313" t="s">
        <v>14</v>
      </c>
      <c r="G11" s="314" t="s">
        <v>266</v>
      </c>
    </row>
    <row r="12" spans="1:10" x14ac:dyDescent="0.25">
      <c r="A12" s="311">
        <v>1</v>
      </c>
      <c r="B12" s="311">
        <v>2</v>
      </c>
      <c r="C12" s="1816">
        <v>3</v>
      </c>
      <c r="D12" s="1817"/>
      <c r="E12" s="315">
        <v>4</v>
      </c>
      <c r="F12" s="313">
        <v>5</v>
      </c>
      <c r="G12" s="316">
        <v>6</v>
      </c>
    </row>
    <row r="13" spans="1:10" x14ac:dyDescent="0.25">
      <c r="A13" s="348" t="s">
        <v>2724</v>
      </c>
      <c r="B13" s="332" t="s">
        <v>1710</v>
      </c>
      <c r="C13" s="321"/>
      <c r="D13" s="322"/>
      <c r="E13" s="962"/>
      <c r="F13" s="321"/>
      <c r="G13" s="343"/>
    </row>
    <row r="14" spans="1:10" x14ac:dyDescent="0.25">
      <c r="A14" s="348" t="s">
        <v>2725</v>
      </c>
      <c r="B14" s="332" t="s">
        <v>1710</v>
      </c>
      <c r="C14" s="321"/>
      <c r="D14" s="322"/>
      <c r="E14" s="962"/>
      <c r="F14" s="321"/>
      <c r="G14" s="343"/>
    </row>
    <row r="15" spans="1:10" x14ac:dyDescent="0.25">
      <c r="A15" s="348" t="s">
        <v>2726</v>
      </c>
      <c r="B15" s="332" t="s">
        <v>1710</v>
      </c>
      <c r="C15" s="345"/>
      <c r="D15" s="344"/>
      <c r="E15" s="337"/>
      <c r="F15" s="700"/>
      <c r="G15" s="343"/>
    </row>
    <row r="16" spans="1:10" ht="30" x14ac:dyDescent="0.25">
      <c r="A16" s="329"/>
      <c r="B16" s="332" t="s">
        <v>2777</v>
      </c>
      <c r="C16" s="345">
        <f>44*12</f>
        <v>528</v>
      </c>
      <c r="D16" s="344" t="s">
        <v>222</v>
      </c>
      <c r="E16" s="337">
        <v>300000</v>
      </c>
      <c r="F16" s="700">
        <f>E16*C16</f>
        <v>158400000</v>
      </c>
      <c r="G16" s="343"/>
    </row>
    <row r="17" spans="1:10" x14ac:dyDescent="0.25">
      <c r="A17" s="329"/>
      <c r="B17" s="925"/>
      <c r="C17" s="926"/>
      <c r="D17" s="927"/>
      <c r="E17" s="1004"/>
      <c r="F17" s="1005"/>
      <c r="G17" s="343"/>
    </row>
    <row r="18" spans="1:10" x14ac:dyDescent="0.25">
      <c r="A18" s="329"/>
      <c r="B18" s="2062" t="s">
        <v>26</v>
      </c>
      <c r="C18" s="2062"/>
      <c r="D18" s="2062"/>
      <c r="E18" s="2062"/>
      <c r="F18" s="742">
        <f>SUM(F15:F17)</f>
        <v>158400000</v>
      </c>
      <c r="G18" s="343" t="s">
        <v>1711</v>
      </c>
      <c r="J18" s="32">
        <f>F18</f>
        <v>158400000</v>
      </c>
    </row>
    <row r="19" spans="1:10" s="444" customFormat="1" ht="12" x14ac:dyDescent="0.2">
      <c r="A19" s="1762" t="s">
        <v>549</v>
      </c>
      <c r="B19" s="1762"/>
      <c r="C19" s="188" t="s">
        <v>27</v>
      </c>
      <c r="D19" s="1763" t="s">
        <v>1429</v>
      </c>
      <c r="E19" s="1763"/>
      <c r="F19" s="1763"/>
      <c r="G19" s="188"/>
    </row>
    <row r="20" spans="1:10" s="444" customFormat="1" ht="12" x14ac:dyDescent="0.2">
      <c r="A20" s="1762" t="s">
        <v>28</v>
      </c>
      <c r="B20" s="1762"/>
      <c r="C20" s="188"/>
      <c r="D20" s="1764" t="s">
        <v>2833</v>
      </c>
      <c r="E20" s="1764"/>
      <c r="F20" s="1764"/>
      <c r="G20" s="188"/>
    </row>
    <row r="21" spans="1:10" s="444" customFormat="1" ht="12" x14ac:dyDescent="0.2">
      <c r="A21" s="186"/>
      <c r="B21" s="187"/>
      <c r="C21" s="188"/>
      <c r="D21" s="189"/>
      <c r="E21" s="218"/>
      <c r="F21" s="218"/>
      <c r="G21" s="188"/>
    </row>
    <row r="22" spans="1:10" s="444" customFormat="1" ht="12" x14ac:dyDescent="0.2">
      <c r="A22" s="186"/>
      <c r="B22" s="187"/>
      <c r="C22" s="188"/>
      <c r="D22" s="189"/>
      <c r="E22" s="218"/>
      <c r="F22" s="218"/>
      <c r="G22" s="188"/>
    </row>
    <row r="23" spans="1:10" s="444" customFormat="1" ht="12" x14ac:dyDescent="0.2">
      <c r="A23" s="1762"/>
      <c r="B23" s="1762"/>
      <c r="C23" s="188"/>
      <c r="D23" s="189"/>
      <c r="E23" s="1762"/>
      <c r="F23" s="1762"/>
      <c r="G23" s="188"/>
    </row>
    <row r="24" spans="1:10" s="444" customFormat="1" ht="12" x14ac:dyDescent="0.2">
      <c r="A24" s="1762" t="s">
        <v>29</v>
      </c>
      <c r="B24" s="1762"/>
      <c r="C24" s="188"/>
      <c r="D24" s="1762" t="s">
        <v>2954</v>
      </c>
      <c r="E24" s="1762"/>
      <c r="F24" s="1762"/>
      <c r="G24" s="188"/>
    </row>
    <row r="28" spans="1:10" x14ac:dyDescent="0.25">
      <c r="F28" s="83"/>
    </row>
    <row r="29" spans="1:10" x14ac:dyDescent="0.25">
      <c r="F29" s="32"/>
    </row>
  </sheetData>
  <mergeCells count="15">
    <mergeCell ref="A24:B24"/>
    <mergeCell ref="D24:F24"/>
    <mergeCell ref="A19:B19"/>
    <mergeCell ref="D19:F19"/>
    <mergeCell ref="A20:B20"/>
    <mergeCell ref="D20:F20"/>
    <mergeCell ref="A23:B23"/>
    <mergeCell ref="E23:F23"/>
    <mergeCell ref="B18:E18"/>
    <mergeCell ref="A1:G1"/>
    <mergeCell ref="A2:G2"/>
    <mergeCell ref="A3:G3"/>
    <mergeCell ref="D9:E9"/>
    <mergeCell ref="C11:D11"/>
    <mergeCell ref="C12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7EE1-3126-42A0-84D2-5DCFB283241C}">
  <dimension ref="A1:C52"/>
  <sheetViews>
    <sheetView topLeftCell="A17" workbookViewId="0">
      <selection activeCell="C19" sqref="C19"/>
    </sheetView>
  </sheetViews>
  <sheetFormatPr defaultRowHeight="15" x14ac:dyDescent="0.25"/>
  <cols>
    <col min="2" max="2" width="34.85546875" customWidth="1"/>
    <col min="3" max="3" width="15.28515625" bestFit="1" customWidth="1"/>
  </cols>
  <sheetData>
    <row r="1" spans="1:3" ht="27" customHeight="1" x14ac:dyDescent="0.25">
      <c r="A1" s="34" t="s">
        <v>1039</v>
      </c>
      <c r="B1" s="34" t="s">
        <v>1038</v>
      </c>
      <c r="C1" s="34" t="s">
        <v>2438</v>
      </c>
    </row>
    <row r="2" spans="1:3" ht="45" x14ac:dyDescent="0.25">
      <c r="A2" s="34">
        <v>1</v>
      </c>
      <c r="B2" s="4" t="str">
        <f>'BID III'!B1022</f>
        <v>Pemeliharaan Jalan Lingkungan Permukiman Pura Dalem Laplap ( Pembersihan Site)</v>
      </c>
      <c r="C2" s="91">
        <f>'BID III'!F1038</f>
        <v>0</v>
      </c>
    </row>
    <row r="3" spans="1:3" ht="45" x14ac:dyDescent="0.25">
      <c r="A3" s="34">
        <v>2</v>
      </c>
      <c r="B3" s="4" t="str">
        <f>'BID III'!B1050</f>
        <v>Pemeliharaan Jalan Lingkungan Permukiman Pura Dalem Laplap ( pembongkaran tembok lama)</v>
      </c>
      <c r="C3" s="91">
        <f>'BID III'!F1066</f>
        <v>0</v>
      </c>
    </row>
    <row r="4" spans="1:3" ht="45" x14ac:dyDescent="0.25">
      <c r="A4" s="34">
        <v>3</v>
      </c>
      <c r="B4" s="4" t="str">
        <f>'BID III'!B1087</f>
        <v>Pemeliharaan Jalan Lingkungan Permukiman Pura Dalem Laplap ( GALIAN PONDASI)</v>
      </c>
      <c r="C4" s="91">
        <f>'BID III'!F1103</f>
        <v>0</v>
      </c>
    </row>
    <row r="5" spans="1:3" ht="45" x14ac:dyDescent="0.25">
      <c r="A5" s="34">
        <v>4</v>
      </c>
      <c r="B5" s="4" t="str">
        <f>'BID III'!B1121</f>
        <v>Pemeliharaan Jalan Lingkungan Permukiman Pura Dalem Laplap ( PONDASI)</v>
      </c>
      <c r="C5" s="91">
        <f>'BID III'!F1142</f>
        <v>0</v>
      </c>
    </row>
    <row r="6" spans="1:3" ht="45" x14ac:dyDescent="0.25">
      <c r="A6" s="34">
        <v>5</v>
      </c>
      <c r="B6" s="4" t="str">
        <f>'BID III'!B1153</f>
        <v>Pemeliharaan Jalan Lingkungan Permukiman Pura Dalem Laplap ( Urugan Tanah Kembali)</v>
      </c>
      <c r="C6" s="91">
        <f>'BID III'!F1167</f>
        <v>0</v>
      </c>
    </row>
    <row r="7" spans="1:3" ht="45" x14ac:dyDescent="0.25">
      <c r="A7" s="34">
        <v>6</v>
      </c>
      <c r="B7" s="4" t="str">
        <f>'BID III'!B1178</f>
        <v>Pemeliharaan Jalan Lingkungan Permukiman Pura Dalem Laplap ( SLOOF beton bertulang)</v>
      </c>
      <c r="C7" s="91">
        <f>'BID III'!F1200</f>
        <v>0</v>
      </c>
    </row>
    <row r="8" spans="1:3" ht="45" x14ac:dyDescent="0.25">
      <c r="A8" s="34">
        <v>7</v>
      </c>
      <c r="B8" s="4" t="str">
        <f>'BID III'!B1220</f>
        <v>Pemeliharaan Jalan Lingkungan Permukiman Pura Dalem Laplap ( PASANG BATAKO)</v>
      </c>
      <c r="C8" s="91">
        <f>'BID III'!F1242</f>
        <v>0</v>
      </c>
    </row>
    <row r="9" spans="1:3" ht="45" x14ac:dyDescent="0.25">
      <c r="A9" s="34">
        <v>8</v>
      </c>
      <c r="B9" s="4" t="str">
        <f>'BID III'!B1252</f>
        <v>Pemeliharaan Jalan Lingkungan Permukiman Pura Dalem Laplap ( RING BALOK)</v>
      </c>
      <c r="C9" s="91">
        <f>'BID III'!F1274</f>
        <v>0</v>
      </c>
    </row>
    <row r="10" spans="1:3" ht="45" x14ac:dyDescent="0.25">
      <c r="A10" s="34">
        <v>9</v>
      </c>
      <c r="B10" s="4" t="str">
        <f>'BID III'!B1288</f>
        <v>Pemeliharaan Jalan Lingkungan Permukiman Pura Dalem Laplap ( PLESTERAN )</v>
      </c>
      <c r="C10" s="91">
        <f>'BID III'!F1305</f>
        <v>0</v>
      </c>
    </row>
    <row r="11" spans="1:3" ht="45" x14ac:dyDescent="0.25">
      <c r="A11" s="34">
        <v>10</v>
      </c>
      <c r="B11" s="4" t="str">
        <f>'BID III'!B1315</f>
        <v>Pemeliharaan Jalan Lingkungan Permukiman Pura Dalem Laplap (BAN - BANAN PLESTERAN )</v>
      </c>
      <c r="C11" s="91">
        <f>'BID III'!F1332</f>
        <v>0</v>
      </c>
    </row>
    <row r="12" spans="1:3" ht="45" x14ac:dyDescent="0.25">
      <c r="A12" s="34">
        <v>11</v>
      </c>
      <c r="B12" s="4" t="str">
        <f>'BID III'!B1341</f>
        <v>Pemeliharaan Jalan Lingkungan Permukiman Pura Dalem Laplap ( GALIAN PONDASI TEMBOK BARU)</v>
      </c>
      <c r="C12" s="91">
        <f>'BID III'!F1357</f>
        <v>0</v>
      </c>
    </row>
    <row r="13" spans="1:3" ht="45" x14ac:dyDescent="0.25">
      <c r="A13" s="34">
        <v>12</v>
      </c>
      <c r="B13" s="4" t="str">
        <f>'BID III'!B1366</f>
        <v>Pemeliharaan Jalan Lingkungan Permukiman Pura Dalem Laplap (  PONDASI BETON TEMBOK BARU)</v>
      </c>
      <c r="C13" s="91">
        <f>'BID III'!F1384</f>
        <v>0</v>
      </c>
    </row>
    <row r="14" spans="1:3" ht="45" x14ac:dyDescent="0.25">
      <c r="A14" s="34">
        <v>13</v>
      </c>
      <c r="B14" s="4" t="str">
        <f>'BID III'!B1394</f>
        <v>Pemeliharaan Jalan Lingkungan Permukiman Pura Dalem Laplap (  PEMBESIAN PONDASI TEMBOK BARU)</v>
      </c>
      <c r="C14" s="91">
        <f>'BID III'!F1410</f>
        <v>0</v>
      </c>
    </row>
    <row r="15" spans="1:3" ht="45" x14ac:dyDescent="0.25">
      <c r="A15" s="34">
        <v>14</v>
      </c>
      <c r="B15" s="4" t="str">
        <f>'BID III'!B1420</f>
        <v>Pemeliharaan Jalan Lingkungan Permukiman Pura Dalem Laplap (  URUGAN TANAH  TEMBOK BARU)</v>
      </c>
      <c r="C15" s="91">
        <f>'BID III'!F1436</f>
        <v>0</v>
      </c>
    </row>
    <row r="16" spans="1:3" ht="45" x14ac:dyDescent="0.25">
      <c r="A16" s="34">
        <v>15</v>
      </c>
      <c r="B16" s="4" t="str">
        <f>'BID III'!B1446</f>
        <v>Pemeliharaan Jalan Lingkungan Permukiman Pura Dalem Laplap ( PLESTERAN TEMBOK bARU )</v>
      </c>
      <c r="C16" s="91">
        <f>'BID III'!F1463</f>
        <v>0</v>
      </c>
    </row>
    <row r="17" spans="1:3" ht="45.75" thickBot="1" x14ac:dyDescent="0.3">
      <c r="A17" s="96">
        <v>16</v>
      </c>
      <c r="B17" s="1127" t="str">
        <f>'BID III'!B1475</f>
        <v>Pemeliharaan Jalan Lingkungan Permukiman Pura Dalem Laplap (BAN - BANAN PLESTERAN TEMBOK BARU )</v>
      </c>
      <c r="C17" s="1696">
        <f>'BID III'!F1492</f>
        <v>0</v>
      </c>
    </row>
    <row r="18" spans="1:3" ht="15.75" thickBot="1" x14ac:dyDescent="0.3">
      <c r="A18" s="2063" t="s">
        <v>2957</v>
      </c>
      <c r="B18" s="2064"/>
      <c r="C18" s="1697">
        <f>SUM(C2:C17)</f>
        <v>0</v>
      </c>
    </row>
    <row r="19" spans="1:3" ht="15.75" thickBot="1" x14ac:dyDescent="0.3">
      <c r="C19">
        <v>105432153</v>
      </c>
    </row>
    <row r="20" spans="1:3" ht="27" customHeight="1" thickBot="1" x14ac:dyDescent="0.3">
      <c r="A20" s="1698" t="s">
        <v>1039</v>
      </c>
      <c r="B20" s="1699" t="s">
        <v>1038</v>
      </c>
      <c r="C20" s="1698" t="s">
        <v>2438</v>
      </c>
    </row>
    <row r="21" spans="1:3" ht="45" x14ac:dyDescent="0.25">
      <c r="A21" s="150">
        <v>1</v>
      </c>
      <c r="B21" s="146" t="str">
        <f>'BID III'!B1502</f>
        <v>Pemeliharaan Jalan Lingkungan Permukiman/Pengorong Desa Adat Bekul (Pemavingan)</v>
      </c>
      <c r="C21" s="148">
        <f>'BID III'!F1522</f>
        <v>0</v>
      </c>
    </row>
    <row r="22" spans="1:3" ht="45" x14ac:dyDescent="0.25">
      <c r="A22" s="34">
        <v>2</v>
      </c>
      <c r="B22" s="4" t="str">
        <f>'BID III'!B1531</f>
        <v>Pemeliharaan Jalan Lingkungan Permukiman/Pengorong Desa Adat Bekul (Rabat Beton)</v>
      </c>
      <c r="C22" s="91">
        <f>'BID III'!F1549</f>
        <v>0</v>
      </c>
    </row>
    <row r="23" spans="1:3" ht="45.75" thickBot="1" x14ac:dyDescent="0.3">
      <c r="A23" s="96">
        <v>3</v>
      </c>
      <c r="B23" s="1127" t="str">
        <f>'BID III'!B1559</f>
        <v>Pemeliharaan Jalan Lingkungan Permukiman/Pengorong Desa Adat Bekul ( Bongkar paving )</v>
      </c>
      <c r="C23" s="1696">
        <f>'BID III'!F1575</f>
        <v>0</v>
      </c>
    </row>
    <row r="24" spans="1:3" ht="15.75" thickBot="1" x14ac:dyDescent="0.3">
      <c r="A24" s="2063" t="s">
        <v>26</v>
      </c>
      <c r="B24" s="2064"/>
      <c r="C24" s="1697">
        <f>SUM(C21:C23)</f>
        <v>0</v>
      </c>
    </row>
    <row r="26" spans="1:3" x14ac:dyDescent="0.25">
      <c r="C26" s="32">
        <f>C24-C52</f>
        <v>-69685190</v>
      </c>
    </row>
    <row r="29" spans="1:3" x14ac:dyDescent="0.25">
      <c r="A29" s="39" t="s">
        <v>1039</v>
      </c>
      <c r="B29" s="39" t="s">
        <v>1038</v>
      </c>
      <c r="C29" s="39" t="s">
        <v>2438</v>
      </c>
    </row>
    <row r="30" spans="1:3" ht="45" x14ac:dyDescent="0.25">
      <c r="A30" s="38">
        <v>1</v>
      </c>
      <c r="B30" s="4" t="s">
        <v>2323</v>
      </c>
      <c r="C30" s="147">
        <v>663000</v>
      </c>
    </row>
    <row r="31" spans="1:3" ht="45" x14ac:dyDescent="0.25">
      <c r="A31" s="38">
        <v>2</v>
      </c>
      <c r="B31" s="4" t="s">
        <v>2325</v>
      </c>
      <c r="C31" s="147">
        <v>26300000</v>
      </c>
    </row>
    <row r="32" spans="1:3" ht="45" x14ac:dyDescent="0.25">
      <c r="A32" s="38">
        <v>3</v>
      </c>
      <c r="B32" s="4" t="s">
        <v>2327</v>
      </c>
      <c r="C32" s="147">
        <v>1856400</v>
      </c>
    </row>
    <row r="33" spans="1:3" ht="45" x14ac:dyDescent="0.25">
      <c r="A33" s="38">
        <v>4</v>
      </c>
      <c r="B33" s="4" t="s">
        <v>2329</v>
      </c>
      <c r="C33" s="147">
        <v>15602000</v>
      </c>
    </row>
    <row r="34" spans="1:3" ht="45" x14ac:dyDescent="0.25">
      <c r="A34" s="38">
        <v>5</v>
      </c>
      <c r="B34" s="4" t="s">
        <v>2331</v>
      </c>
      <c r="C34" s="147">
        <v>2299080</v>
      </c>
    </row>
    <row r="35" spans="1:3" ht="45" x14ac:dyDescent="0.25">
      <c r="A35" s="38">
        <v>6</v>
      </c>
      <c r="B35" s="4" t="s">
        <v>2333</v>
      </c>
      <c r="C35" s="147">
        <v>11002890</v>
      </c>
    </row>
    <row r="36" spans="1:3" ht="45" x14ac:dyDescent="0.25">
      <c r="A36" s="38">
        <v>7</v>
      </c>
      <c r="B36" s="4" t="s">
        <v>2335</v>
      </c>
      <c r="C36" s="147">
        <v>9116823</v>
      </c>
    </row>
    <row r="37" spans="1:3" ht="45" x14ac:dyDescent="0.25">
      <c r="A37" s="38">
        <v>8</v>
      </c>
      <c r="B37" s="4" t="s">
        <v>2339</v>
      </c>
      <c r="C37" s="147">
        <v>3418190</v>
      </c>
    </row>
    <row r="38" spans="1:3" ht="45" x14ac:dyDescent="0.25">
      <c r="A38" s="38">
        <v>9</v>
      </c>
      <c r="B38" s="4" t="s">
        <v>2341</v>
      </c>
      <c r="C38" s="147">
        <v>6232620</v>
      </c>
    </row>
    <row r="39" spans="1:3" ht="45" x14ac:dyDescent="0.25">
      <c r="A39" s="38">
        <v>10</v>
      </c>
      <c r="B39" s="4" t="s">
        <v>2343</v>
      </c>
      <c r="C39" s="147">
        <v>1026540</v>
      </c>
    </row>
    <row r="40" spans="1:3" ht="45" x14ac:dyDescent="0.25">
      <c r="A40" s="38">
        <v>11</v>
      </c>
      <c r="B40" s="4" t="s">
        <v>2345</v>
      </c>
      <c r="C40" s="147">
        <v>530400</v>
      </c>
    </row>
    <row r="41" spans="1:3" ht="45" x14ac:dyDescent="0.25">
      <c r="A41" s="38">
        <v>12</v>
      </c>
      <c r="B41" s="4" t="s">
        <v>2347</v>
      </c>
      <c r="C41" s="147">
        <v>8741480</v>
      </c>
    </row>
    <row r="42" spans="1:3" ht="45" x14ac:dyDescent="0.25">
      <c r="A42" s="38">
        <v>13</v>
      </c>
      <c r="B42" s="4" t="s">
        <v>2349</v>
      </c>
      <c r="C42" s="147">
        <v>3120730</v>
      </c>
    </row>
    <row r="43" spans="1:3" ht="45" x14ac:dyDescent="0.25">
      <c r="A43" s="38">
        <v>14</v>
      </c>
      <c r="B43" s="4" t="s">
        <v>2351</v>
      </c>
      <c r="C43" s="147">
        <v>1725840</v>
      </c>
    </row>
    <row r="44" spans="1:3" ht="45" x14ac:dyDescent="0.25">
      <c r="A44" s="38">
        <v>15</v>
      </c>
      <c r="B44" s="4" t="s">
        <v>2353</v>
      </c>
      <c r="C44" s="147">
        <v>8476020</v>
      </c>
    </row>
    <row r="45" spans="1:3" ht="45" x14ac:dyDescent="0.25">
      <c r="A45" s="38">
        <v>16</v>
      </c>
      <c r="B45" s="4" t="s">
        <v>2355</v>
      </c>
      <c r="C45" s="147">
        <v>5320140</v>
      </c>
    </row>
    <row r="46" spans="1:3" x14ac:dyDescent="0.25">
      <c r="A46" s="2065" t="s">
        <v>2957</v>
      </c>
      <c r="B46" s="2065"/>
      <c r="C46" s="147">
        <v>105432153</v>
      </c>
    </row>
    <row r="47" spans="1:3" x14ac:dyDescent="0.25">
      <c r="A47" s="5"/>
      <c r="B47" s="5"/>
      <c r="C47" s="1700"/>
    </row>
    <row r="48" spans="1:3" x14ac:dyDescent="0.25">
      <c r="A48" s="4" t="s">
        <v>1039</v>
      </c>
      <c r="B48" s="4" t="s">
        <v>1038</v>
      </c>
      <c r="C48" s="147" t="s">
        <v>2438</v>
      </c>
    </row>
    <row r="49" spans="1:3" ht="45" x14ac:dyDescent="0.25">
      <c r="A49" s="39">
        <v>1</v>
      </c>
      <c r="B49" s="4" t="s">
        <v>2496</v>
      </c>
      <c r="C49" s="147">
        <v>65668140</v>
      </c>
    </row>
    <row r="50" spans="1:3" ht="45" x14ac:dyDescent="0.25">
      <c r="A50" s="39">
        <v>2</v>
      </c>
      <c r="B50" s="4" t="s">
        <v>2434</v>
      </c>
      <c r="C50" s="147">
        <v>3197050</v>
      </c>
    </row>
    <row r="51" spans="1:3" ht="45" x14ac:dyDescent="0.25">
      <c r="A51" s="39">
        <v>3</v>
      </c>
      <c r="B51" s="4" t="s">
        <v>2359</v>
      </c>
      <c r="C51" s="147">
        <v>820000</v>
      </c>
    </row>
    <row r="52" spans="1:3" x14ac:dyDescent="0.25">
      <c r="A52" s="2065" t="s">
        <v>26</v>
      </c>
      <c r="B52" s="2065"/>
      <c r="C52" s="147">
        <v>69685190</v>
      </c>
    </row>
  </sheetData>
  <mergeCells count="4">
    <mergeCell ref="A18:B18"/>
    <mergeCell ref="A24:B24"/>
    <mergeCell ref="A46:B46"/>
    <mergeCell ref="A52:B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C76D-8598-458C-B0FA-EF4A1C7CD4E0}">
  <dimension ref="A1:N1400"/>
  <sheetViews>
    <sheetView topLeftCell="K772" zoomScale="180" zoomScaleNormal="180" workbookViewId="0">
      <selection activeCell="M774" sqref="M774"/>
    </sheetView>
  </sheetViews>
  <sheetFormatPr defaultRowHeight="15" x14ac:dyDescent="0.25"/>
  <cols>
    <col min="1" max="3" width="3.28515625" customWidth="1"/>
    <col min="4" max="4" width="2.5703125" customWidth="1"/>
    <col min="5" max="7" width="3.28515625" customWidth="1"/>
    <col min="8" max="8" width="24.28515625" customWidth="1"/>
    <col min="9" max="9" width="6.85546875" customWidth="1"/>
    <col min="10" max="10" width="7.28515625" customWidth="1"/>
    <col min="11" max="11" width="18.5703125" style="83" customWidth="1"/>
    <col min="12" max="12" width="7" customWidth="1"/>
    <col min="13" max="13" width="44" customWidth="1"/>
    <col min="14" max="14" width="32.7109375" customWidth="1"/>
  </cols>
  <sheetData>
    <row r="1" spans="1:12" x14ac:dyDescent="0.25">
      <c r="F1" s="5"/>
      <c r="I1" s="83"/>
      <c r="J1" s="5"/>
      <c r="L1" s="5"/>
    </row>
    <row r="2" spans="1:12" x14ac:dyDescent="0.25">
      <c r="A2" s="2067"/>
      <c r="B2" s="2067"/>
      <c r="C2" s="2067"/>
      <c r="D2" s="2067"/>
      <c r="E2" s="2067"/>
      <c r="F2" s="2067"/>
      <c r="G2" s="2067"/>
      <c r="H2" s="2067"/>
      <c r="I2" s="2067"/>
      <c r="J2" s="2067"/>
      <c r="L2" s="5"/>
    </row>
    <row r="3" spans="1:12" x14ac:dyDescent="0.25">
      <c r="I3" s="1500" t="s">
        <v>2666</v>
      </c>
      <c r="J3" s="1484"/>
      <c r="K3" s="1485"/>
      <c r="L3" s="1486"/>
    </row>
    <row r="4" spans="1:12" x14ac:dyDescent="0.25">
      <c r="I4" s="1500" t="s">
        <v>2667</v>
      </c>
      <c r="J4" s="1484"/>
      <c r="K4" s="1485"/>
      <c r="L4" s="1486"/>
    </row>
    <row r="5" spans="1:12" x14ac:dyDescent="0.25">
      <c r="I5" s="1500" t="s">
        <v>2677</v>
      </c>
      <c r="J5" s="1484"/>
      <c r="K5" s="1485"/>
      <c r="L5" s="1486"/>
    </row>
    <row r="6" spans="1:12" x14ac:dyDescent="0.25">
      <c r="I6" s="1500" t="s">
        <v>2668</v>
      </c>
      <c r="J6" s="1484"/>
      <c r="K6" s="1485"/>
      <c r="L6" s="1486"/>
    </row>
    <row r="7" spans="1:12" x14ac:dyDescent="0.25">
      <c r="I7" s="1500" t="s">
        <v>2669</v>
      </c>
      <c r="J7" s="1484"/>
      <c r="K7" s="1485"/>
      <c r="L7" s="1486"/>
    </row>
    <row r="8" spans="1:12" x14ac:dyDescent="0.25">
      <c r="L8" s="5"/>
    </row>
    <row r="9" spans="1:12" x14ac:dyDescent="0.25">
      <c r="L9" s="5"/>
    </row>
    <row r="10" spans="1:12" x14ac:dyDescent="0.25">
      <c r="L10" s="5"/>
    </row>
    <row r="11" spans="1:12" x14ac:dyDescent="0.25">
      <c r="L11" s="5"/>
    </row>
    <row r="12" spans="1:12" x14ac:dyDescent="0.25">
      <c r="A12" s="2067" t="s">
        <v>2670</v>
      </c>
      <c r="B12" s="2067"/>
      <c r="C12" s="2067"/>
      <c r="D12" s="2067"/>
      <c r="E12" s="2067"/>
      <c r="F12" s="2067"/>
      <c r="G12" s="2067"/>
      <c r="H12" s="2067"/>
      <c r="I12" s="2067"/>
      <c r="J12" s="2067"/>
      <c r="K12" s="2067"/>
      <c r="L12" s="2067"/>
    </row>
    <row r="13" spans="1:12" x14ac:dyDescent="0.25">
      <c r="A13" s="2067" t="s">
        <v>2671</v>
      </c>
      <c r="B13" s="2067"/>
      <c r="C13" s="2067"/>
      <c r="D13" s="2067"/>
      <c r="E13" s="2067"/>
      <c r="F13" s="2067"/>
      <c r="G13" s="2067"/>
      <c r="H13" s="2067"/>
      <c r="I13" s="2067"/>
      <c r="J13" s="2067"/>
      <c r="K13" s="2067"/>
      <c r="L13" s="2067"/>
    </row>
    <row r="14" spans="1:12" x14ac:dyDescent="0.25">
      <c r="A14" s="2067" t="s">
        <v>1769</v>
      </c>
      <c r="B14" s="2067"/>
      <c r="C14" s="2067"/>
      <c r="D14" s="2067"/>
      <c r="E14" s="2067"/>
      <c r="F14" s="2067"/>
      <c r="G14" s="2067"/>
      <c r="H14" s="2067"/>
      <c r="I14" s="2067"/>
      <c r="J14" s="2067"/>
      <c r="K14" s="2067"/>
      <c r="L14" s="2067"/>
    </row>
    <row r="15" spans="1:12" x14ac:dyDescent="0.25">
      <c r="L15" s="5"/>
    </row>
    <row r="16" spans="1:12" x14ac:dyDescent="0.25">
      <c r="A16" s="2066" t="s">
        <v>2672</v>
      </c>
      <c r="B16" s="2066"/>
      <c r="C16" s="2066"/>
      <c r="D16" s="2066"/>
      <c r="E16" s="2066"/>
      <c r="F16" s="2066"/>
      <c r="G16" s="2066"/>
      <c r="H16" s="2066" t="s">
        <v>11</v>
      </c>
      <c r="I16" s="2068" t="s">
        <v>2673</v>
      </c>
      <c r="J16" s="2068"/>
      <c r="K16" s="2069" t="s">
        <v>2674</v>
      </c>
      <c r="L16" s="2070" t="s">
        <v>2675</v>
      </c>
    </row>
    <row r="17" spans="1:13" x14ac:dyDescent="0.25">
      <c r="A17" s="2066"/>
      <c r="B17" s="2066"/>
      <c r="C17" s="2066"/>
      <c r="D17" s="2066"/>
      <c r="E17" s="2066"/>
      <c r="F17" s="2066"/>
      <c r="G17" s="2066"/>
      <c r="H17" s="2066"/>
      <c r="I17" s="1487" t="s">
        <v>12</v>
      </c>
      <c r="J17" s="1487" t="s">
        <v>2676</v>
      </c>
      <c r="K17" s="2069"/>
      <c r="L17" s="2070"/>
    </row>
    <row r="18" spans="1:13" x14ac:dyDescent="0.25">
      <c r="A18" s="2066">
        <v>1</v>
      </c>
      <c r="B18" s="2066"/>
      <c r="C18" s="2066"/>
      <c r="D18" s="2066">
        <v>2</v>
      </c>
      <c r="E18" s="2066"/>
      <c r="F18" s="2066"/>
      <c r="G18" s="2066"/>
      <c r="H18" s="34">
        <v>3</v>
      </c>
      <c r="I18" s="34">
        <v>4</v>
      </c>
      <c r="J18" s="34">
        <v>5</v>
      </c>
      <c r="K18" s="1760">
        <v>6</v>
      </c>
      <c r="L18" s="38">
        <v>7</v>
      </c>
    </row>
    <row r="19" spans="1:13" x14ac:dyDescent="0.25">
      <c r="A19" s="34" t="s">
        <v>1087</v>
      </c>
      <c r="B19" s="34" t="s">
        <v>1088</v>
      </c>
      <c r="C19" s="34" t="s">
        <v>1089</v>
      </c>
      <c r="D19" s="34" t="s">
        <v>1087</v>
      </c>
      <c r="E19" s="34" t="s">
        <v>1088</v>
      </c>
      <c r="F19" s="34" t="s">
        <v>1089</v>
      </c>
      <c r="G19" s="34" t="s">
        <v>1090</v>
      </c>
      <c r="H19" s="1"/>
      <c r="I19" s="1"/>
      <c r="J19" s="1"/>
      <c r="K19" s="91"/>
      <c r="L19" s="4"/>
    </row>
    <row r="20" spans="1:13" x14ac:dyDescent="0.25">
      <c r="A20" s="1"/>
      <c r="B20" s="1"/>
      <c r="C20" s="1"/>
      <c r="D20" s="1">
        <v>4</v>
      </c>
      <c r="E20" s="1"/>
      <c r="F20" s="1"/>
      <c r="G20" s="1"/>
      <c r="H20" s="1" t="s">
        <v>2678</v>
      </c>
      <c r="I20" s="1"/>
      <c r="J20" s="1"/>
      <c r="K20" s="91"/>
      <c r="L20" s="1"/>
    </row>
    <row r="21" spans="1:13" x14ac:dyDescent="0.25">
      <c r="A21" s="1"/>
      <c r="B21" s="1"/>
      <c r="C21" s="1"/>
      <c r="D21" s="1">
        <v>4</v>
      </c>
      <c r="E21" s="1">
        <v>1</v>
      </c>
      <c r="F21" s="1"/>
      <c r="G21" s="1"/>
      <c r="H21" s="1" t="s">
        <v>1390</v>
      </c>
      <c r="I21" s="1"/>
      <c r="J21" s="1"/>
      <c r="K21" s="91"/>
      <c r="L21" s="1"/>
    </row>
    <row r="22" spans="1:13" x14ac:dyDescent="0.25">
      <c r="A22" s="1"/>
      <c r="B22" s="1"/>
      <c r="C22" s="1"/>
      <c r="D22" s="1">
        <v>4</v>
      </c>
      <c r="E22" s="1">
        <v>1</v>
      </c>
      <c r="F22" s="1">
        <v>1</v>
      </c>
      <c r="G22" s="1488" t="s">
        <v>2679</v>
      </c>
      <c r="H22" s="1" t="s">
        <v>2680</v>
      </c>
      <c r="I22" s="1">
        <v>1</v>
      </c>
      <c r="J22" s="1" t="s">
        <v>741</v>
      </c>
      <c r="K22" s="91">
        <f>Htungan!L4</f>
        <v>221569600</v>
      </c>
      <c r="L22" s="1" t="s">
        <v>1417</v>
      </c>
    </row>
    <row r="23" spans="1:13" ht="30" x14ac:dyDescent="0.25">
      <c r="A23" s="1"/>
      <c r="B23" s="1"/>
      <c r="C23" s="1"/>
      <c r="D23" s="1">
        <v>4</v>
      </c>
      <c r="E23" s="1">
        <v>1</v>
      </c>
      <c r="F23" s="1">
        <v>3</v>
      </c>
      <c r="G23" s="1488"/>
      <c r="H23" s="4" t="s">
        <v>2681</v>
      </c>
      <c r="I23" s="1"/>
      <c r="J23" s="1"/>
      <c r="K23" s="91"/>
      <c r="L23" s="1"/>
    </row>
    <row r="24" spans="1:13" ht="45" x14ac:dyDescent="0.25">
      <c r="A24" s="1"/>
      <c r="B24" s="1"/>
      <c r="C24" s="1"/>
      <c r="D24" s="1">
        <v>4</v>
      </c>
      <c r="E24" s="1">
        <v>1</v>
      </c>
      <c r="F24" s="1">
        <v>3</v>
      </c>
      <c r="G24" s="1488" t="s">
        <v>2679</v>
      </c>
      <c r="H24" s="4" t="s">
        <v>2682</v>
      </c>
      <c r="I24" s="1">
        <v>1</v>
      </c>
      <c r="J24" s="1" t="s">
        <v>741</v>
      </c>
      <c r="K24" s="91">
        <f>Htungan!M4</f>
        <v>99256800</v>
      </c>
      <c r="L24" s="4" t="s">
        <v>2568</v>
      </c>
    </row>
    <row r="25" spans="1:13" x14ac:dyDescent="0.25">
      <c r="A25" s="1"/>
      <c r="B25" s="1"/>
      <c r="C25" s="1"/>
      <c r="D25" s="1">
        <v>4</v>
      </c>
      <c r="E25" s="1">
        <v>2</v>
      </c>
      <c r="F25" s="1"/>
      <c r="G25" s="1"/>
      <c r="H25" s="1" t="s">
        <v>2683</v>
      </c>
      <c r="I25" s="1"/>
      <c r="J25" s="1"/>
      <c r="K25" s="91"/>
      <c r="L25" s="1"/>
    </row>
    <row r="26" spans="1:13" x14ac:dyDescent="0.25">
      <c r="A26" s="1"/>
      <c r="B26" s="1"/>
      <c r="C26" s="1"/>
      <c r="D26" s="1">
        <v>4</v>
      </c>
      <c r="E26" s="1">
        <v>2</v>
      </c>
      <c r="F26" s="1">
        <v>1</v>
      </c>
      <c r="G26" s="1"/>
      <c r="H26" s="1" t="s">
        <v>1410</v>
      </c>
      <c r="I26" s="1"/>
      <c r="J26" s="1"/>
      <c r="K26" s="91"/>
      <c r="L26" s="1"/>
    </row>
    <row r="27" spans="1:13" x14ac:dyDescent="0.25">
      <c r="A27" s="1"/>
      <c r="B27" s="1"/>
      <c r="C27" s="1"/>
      <c r="D27" s="1">
        <v>4</v>
      </c>
      <c r="E27" s="1">
        <v>2</v>
      </c>
      <c r="F27" s="1">
        <v>1</v>
      </c>
      <c r="G27" s="1488" t="s">
        <v>2679</v>
      </c>
      <c r="H27" s="1" t="s">
        <v>1410</v>
      </c>
      <c r="I27" s="1">
        <v>1</v>
      </c>
      <c r="J27" s="1" t="s">
        <v>741</v>
      </c>
      <c r="K27" s="91">
        <f>Htungan!E4</f>
        <v>1077193000</v>
      </c>
      <c r="L27" s="1" t="s">
        <v>1711</v>
      </c>
    </row>
    <row r="28" spans="1:13" ht="45" x14ac:dyDescent="0.25">
      <c r="A28" s="1"/>
      <c r="B28" s="1"/>
      <c r="C28" s="1"/>
      <c r="D28" s="1">
        <v>4</v>
      </c>
      <c r="E28" s="1">
        <v>2</v>
      </c>
      <c r="F28" s="1">
        <v>2</v>
      </c>
      <c r="G28" s="1"/>
      <c r="H28" s="4" t="s">
        <v>2684</v>
      </c>
      <c r="I28" s="1"/>
      <c r="J28" s="1"/>
      <c r="K28" s="91"/>
      <c r="L28" s="1"/>
    </row>
    <row r="29" spans="1:13" ht="30" x14ac:dyDescent="0.25">
      <c r="A29" s="1"/>
      <c r="B29" s="1"/>
      <c r="C29" s="1"/>
      <c r="D29" s="1">
        <v>4</v>
      </c>
      <c r="E29" s="1">
        <v>2</v>
      </c>
      <c r="F29" s="1">
        <v>2</v>
      </c>
      <c r="G29" s="1488" t="s">
        <v>2679</v>
      </c>
      <c r="H29" s="4" t="s">
        <v>2691</v>
      </c>
      <c r="I29" s="1">
        <v>1</v>
      </c>
      <c r="J29" s="1" t="s">
        <v>741</v>
      </c>
      <c r="K29" s="91">
        <f>Htungan!G4</f>
        <v>4415022432</v>
      </c>
      <c r="L29" s="1" t="s">
        <v>1845</v>
      </c>
    </row>
    <row r="30" spans="1:13" ht="30" x14ac:dyDescent="0.25">
      <c r="A30" s="1"/>
      <c r="B30" s="1"/>
      <c r="C30" s="1"/>
      <c r="D30" s="1">
        <v>4</v>
      </c>
      <c r="E30" s="1">
        <v>2</v>
      </c>
      <c r="F30" s="1">
        <v>2</v>
      </c>
      <c r="G30" s="1488" t="s">
        <v>2679</v>
      </c>
      <c r="H30" s="4" t="s">
        <v>2692</v>
      </c>
      <c r="I30" s="1">
        <v>1</v>
      </c>
      <c r="J30" s="1" t="s">
        <v>741</v>
      </c>
      <c r="K30" s="1492">
        <f>Htungan!H4</f>
        <v>39373569</v>
      </c>
      <c r="L30" s="1" t="s">
        <v>2565</v>
      </c>
      <c r="M30" s="83">
        <v>36061429</v>
      </c>
    </row>
    <row r="31" spans="1:13" x14ac:dyDescent="0.25">
      <c r="A31" s="1"/>
      <c r="B31" s="1"/>
      <c r="C31" s="1"/>
      <c r="D31" s="1">
        <v>4</v>
      </c>
      <c r="E31" s="1">
        <v>2</v>
      </c>
      <c r="F31" s="1">
        <v>3</v>
      </c>
      <c r="G31" s="1"/>
      <c r="H31" s="1" t="s">
        <v>2685</v>
      </c>
      <c r="I31" s="1"/>
      <c r="J31" s="1"/>
      <c r="K31" s="91"/>
      <c r="L31" s="1"/>
      <c r="M31" s="32">
        <f>K30-M30</f>
        <v>3312140</v>
      </c>
    </row>
    <row r="32" spans="1:13" x14ac:dyDescent="0.25">
      <c r="A32" s="1"/>
      <c r="B32" s="1"/>
      <c r="C32" s="1"/>
      <c r="D32" s="1">
        <v>4</v>
      </c>
      <c r="E32" s="1">
        <v>2</v>
      </c>
      <c r="F32" s="1">
        <v>3</v>
      </c>
      <c r="G32" s="1488" t="s">
        <v>2679</v>
      </c>
      <c r="H32" s="1" t="s">
        <v>2685</v>
      </c>
      <c r="I32" s="1">
        <v>1</v>
      </c>
      <c r="J32" s="1" t="s">
        <v>741</v>
      </c>
      <c r="K32" s="91">
        <f>Htungan!F4</f>
        <v>3024982104</v>
      </c>
      <c r="L32" s="1" t="s">
        <v>1409</v>
      </c>
    </row>
    <row r="33" spans="1:14" ht="30" x14ac:dyDescent="0.25">
      <c r="A33" s="1"/>
      <c r="B33" s="1"/>
      <c r="C33" s="1"/>
      <c r="D33" s="1">
        <v>4</v>
      </c>
      <c r="E33" s="1">
        <v>2</v>
      </c>
      <c r="F33" s="1">
        <v>4</v>
      </c>
      <c r="G33" s="1"/>
      <c r="H33" s="4" t="s">
        <v>2686</v>
      </c>
      <c r="I33" s="1"/>
      <c r="J33" s="1"/>
      <c r="K33" s="91"/>
      <c r="L33" s="1"/>
    </row>
    <row r="34" spans="1:14" ht="45" x14ac:dyDescent="0.25">
      <c r="A34" s="1"/>
      <c r="B34" s="1"/>
      <c r="C34" s="1"/>
      <c r="D34" s="1">
        <v>4</v>
      </c>
      <c r="E34" s="1">
        <v>2</v>
      </c>
      <c r="F34" s="1">
        <v>4</v>
      </c>
      <c r="G34" s="1488" t="s">
        <v>2679</v>
      </c>
      <c r="H34" s="4" t="s">
        <v>2687</v>
      </c>
      <c r="I34" s="1">
        <v>1</v>
      </c>
      <c r="J34" s="1" t="s">
        <v>741</v>
      </c>
      <c r="K34" s="91">
        <f>Htungan!J4+Htungan!V4</f>
        <v>119400000</v>
      </c>
      <c r="L34" s="4" t="s">
        <v>2581</v>
      </c>
    </row>
    <row r="35" spans="1:14" ht="30" x14ac:dyDescent="0.25">
      <c r="A35" s="1"/>
      <c r="B35" s="1"/>
      <c r="C35" s="1"/>
      <c r="D35" s="1">
        <v>4</v>
      </c>
      <c r="E35" s="1">
        <v>2</v>
      </c>
      <c r="F35" s="1">
        <v>5</v>
      </c>
      <c r="G35" s="1"/>
      <c r="H35" s="4" t="s">
        <v>2688</v>
      </c>
      <c r="I35" s="1"/>
      <c r="J35" s="1"/>
      <c r="K35" s="91"/>
      <c r="L35" s="1"/>
    </row>
    <row r="36" spans="1:14" ht="30" x14ac:dyDescent="0.25">
      <c r="A36" s="1"/>
      <c r="B36" s="1"/>
      <c r="C36" s="1"/>
      <c r="D36" s="1">
        <v>4</v>
      </c>
      <c r="E36" s="1">
        <v>2</v>
      </c>
      <c r="F36" s="1">
        <v>5</v>
      </c>
      <c r="G36" s="1488" t="s">
        <v>2679</v>
      </c>
      <c r="H36" s="4" t="s">
        <v>2688</v>
      </c>
      <c r="I36" s="1">
        <v>1</v>
      </c>
      <c r="J36" s="1" t="s">
        <v>741</v>
      </c>
      <c r="K36" s="91">
        <f>Htungan!I4</f>
        <v>2450000000</v>
      </c>
      <c r="L36" s="4" t="s">
        <v>1605</v>
      </c>
    </row>
    <row r="37" spans="1:14" x14ac:dyDescent="0.25">
      <c r="A37" s="1"/>
      <c r="B37" s="1"/>
      <c r="C37" s="1"/>
      <c r="D37" s="1">
        <v>4</v>
      </c>
      <c r="E37" s="1">
        <v>3</v>
      </c>
      <c r="F37" s="1"/>
      <c r="G37" s="1"/>
      <c r="H37" s="1" t="s">
        <v>2689</v>
      </c>
      <c r="I37" s="1"/>
      <c r="J37" s="1"/>
      <c r="K37" s="91"/>
      <c r="L37" s="1"/>
    </row>
    <row r="38" spans="1:14" x14ac:dyDescent="0.25">
      <c r="A38" s="1"/>
      <c r="B38" s="1"/>
      <c r="C38" s="1"/>
      <c r="D38" s="1">
        <v>4</v>
      </c>
      <c r="E38" s="1">
        <v>3</v>
      </c>
      <c r="F38" s="1">
        <v>6</v>
      </c>
      <c r="G38" s="1"/>
      <c r="H38" s="1" t="s">
        <v>2567</v>
      </c>
      <c r="I38" s="1"/>
      <c r="J38" s="1"/>
      <c r="K38" s="91"/>
      <c r="L38" s="1"/>
    </row>
    <row r="39" spans="1:14" ht="30" x14ac:dyDescent="0.25">
      <c r="A39" s="1"/>
      <c r="B39" s="1"/>
      <c r="C39" s="1"/>
      <c r="D39" s="1">
        <v>4</v>
      </c>
      <c r="E39" s="1">
        <v>3</v>
      </c>
      <c r="F39" s="1">
        <v>6</v>
      </c>
      <c r="G39" s="1488" t="s">
        <v>2679</v>
      </c>
      <c r="H39" s="1" t="s">
        <v>2567</v>
      </c>
      <c r="I39" s="1">
        <v>1</v>
      </c>
      <c r="J39" s="1" t="s">
        <v>741</v>
      </c>
      <c r="K39" s="91">
        <f>Htungan!K4</f>
        <v>24103550</v>
      </c>
      <c r="L39" s="4" t="s">
        <v>2567</v>
      </c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91"/>
      <c r="L40" s="1"/>
    </row>
    <row r="41" spans="1:14" x14ac:dyDescent="0.25">
      <c r="A41" s="1"/>
      <c r="B41" s="1"/>
      <c r="C41" s="1"/>
      <c r="D41" s="1"/>
      <c r="E41" s="1"/>
      <c r="F41" s="1"/>
      <c r="G41" s="1"/>
      <c r="H41" s="1" t="s">
        <v>2690</v>
      </c>
      <c r="I41" s="1"/>
      <c r="J41" s="1"/>
      <c r="K41" s="91">
        <f>SUM(K22:K40)</f>
        <v>11470901055</v>
      </c>
      <c r="L41" s="1"/>
    </row>
    <row r="42" spans="1:14" x14ac:dyDescent="0.25">
      <c r="A42" s="1"/>
      <c r="B42" s="1"/>
      <c r="C42" s="1"/>
      <c r="D42" s="1">
        <v>5</v>
      </c>
      <c r="E42" s="1"/>
      <c r="F42" s="1"/>
      <c r="G42" s="1"/>
      <c r="H42" s="1" t="s">
        <v>2693</v>
      </c>
      <c r="I42" s="1"/>
      <c r="J42" s="1"/>
      <c r="K42" s="91"/>
      <c r="L42" s="1"/>
    </row>
    <row r="43" spans="1:14" ht="30" x14ac:dyDescent="0.25">
      <c r="A43" s="1489">
        <v>1</v>
      </c>
      <c r="B43" s="1489"/>
      <c r="C43" s="1489"/>
      <c r="D43" s="1489"/>
      <c r="E43" s="1489"/>
      <c r="F43" s="1489"/>
      <c r="G43" s="1489"/>
      <c r="H43" s="1490" t="str">
        <f>'BID I'!B5</f>
        <v>: Penyelenggaraan Pemerintahan Desa</v>
      </c>
      <c r="I43" s="1489"/>
      <c r="J43" s="1489"/>
      <c r="K43" s="1495"/>
      <c r="L43" s="1489"/>
      <c r="M43" s="83">
        <f>Htungan!X8</f>
        <v>3802283774.9499998</v>
      </c>
      <c r="N43" s="32">
        <f>K43-M43</f>
        <v>-3802283774.9499998</v>
      </c>
    </row>
    <row r="44" spans="1:14" ht="75" x14ac:dyDescent="0.25">
      <c r="A44" s="1027">
        <v>1</v>
      </c>
      <c r="B44" s="1027">
        <v>1</v>
      </c>
      <c r="C44" s="1027"/>
      <c r="D44" s="1027"/>
      <c r="E44" s="1027"/>
      <c r="F44" s="1027"/>
      <c r="G44" s="1027"/>
      <c r="H44" s="1028" t="str">
        <f>'BID I'!B6</f>
        <v>: Penyelenggaraan Belanja Penghasilan Tetap, Tunjangan dan Operasional Pemerintah Desa ( Maksimal 30% )</v>
      </c>
      <c r="I44" s="1027"/>
      <c r="J44" s="1027"/>
      <c r="K44" s="1492"/>
      <c r="L44" s="1027"/>
    </row>
    <row r="45" spans="1:14" ht="45" x14ac:dyDescent="0.25">
      <c r="A45" s="1027"/>
      <c r="B45" s="1027"/>
      <c r="C45" s="1491" t="s">
        <v>2679</v>
      </c>
      <c r="D45" s="1027"/>
      <c r="E45" s="1027"/>
      <c r="F45" s="1027"/>
      <c r="G45" s="1027"/>
      <c r="H45" s="1028" t="str">
        <f>'BID I'!B7</f>
        <v>: Penyediaan Penghasilan tetap dan Tunjangan Perbekel</v>
      </c>
      <c r="I45" s="1027"/>
      <c r="J45" s="1027"/>
      <c r="K45" s="1492">
        <f>SUM(K46:K51)</f>
        <v>180740000</v>
      </c>
      <c r="L45" s="1028" t="s">
        <v>2695</v>
      </c>
      <c r="M45" s="36">
        <f>'BID I'!F20</f>
        <v>180740000</v>
      </c>
    </row>
    <row r="46" spans="1:14" x14ac:dyDescent="0.25">
      <c r="A46" s="1"/>
      <c r="B46" s="1"/>
      <c r="C46" s="1"/>
      <c r="D46" s="1">
        <v>5</v>
      </c>
      <c r="E46" s="1">
        <v>1</v>
      </c>
      <c r="F46" s="1"/>
      <c r="G46" s="1"/>
      <c r="H46" s="1" t="str">
        <f>'BID I'!B13</f>
        <v xml:space="preserve">Belanja Pegawai </v>
      </c>
      <c r="I46" s="1"/>
      <c r="J46" s="1"/>
      <c r="K46" s="91"/>
      <c r="L46" s="1"/>
      <c r="M46" s="32">
        <f>K45-M45</f>
        <v>0</v>
      </c>
    </row>
    <row r="47" spans="1:14" ht="30" x14ac:dyDescent="0.25">
      <c r="A47" s="1"/>
      <c r="B47" s="1"/>
      <c r="C47" s="1"/>
      <c r="D47" s="1"/>
      <c r="E47" s="1"/>
      <c r="F47" s="1">
        <v>1</v>
      </c>
      <c r="G47" s="1"/>
      <c r="H47" s="4" t="str">
        <f>'BID I'!B14</f>
        <v>Penghasilan tetap dan Tunjangan Perbekel</v>
      </c>
      <c r="I47" s="1"/>
      <c r="J47" s="1"/>
      <c r="K47" s="91"/>
      <c r="L47" s="1"/>
    </row>
    <row r="48" spans="1:14" ht="30" x14ac:dyDescent="0.25">
      <c r="A48" s="1"/>
      <c r="B48" s="1"/>
      <c r="C48" s="1"/>
      <c r="D48" s="1"/>
      <c r="E48" s="1"/>
      <c r="F48" s="1"/>
      <c r="G48" s="1488" t="s">
        <v>2679</v>
      </c>
      <c r="H48" s="4" t="str">
        <f>'BID I'!B15</f>
        <v>Penghasilan Tetap Perbekel</v>
      </c>
      <c r="I48" s="1"/>
      <c r="J48" s="1"/>
      <c r="K48" s="91">
        <f>'BID I'!F15</f>
        <v>65340000</v>
      </c>
      <c r="L48" s="1" t="s">
        <v>1409</v>
      </c>
    </row>
    <row r="49" spans="1:13" x14ac:dyDescent="0.25">
      <c r="A49" s="1"/>
      <c r="B49" s="1"/>
      <c r="C49" s="1"/>
      <c r="D49" s="1"/>
      <c r="E49" s="1"/>
      <c r="F49" s="1"/>
      <c r="G49" s="1488" t="s">
        <v>2694</v>
      </c>
      <c r="H49" s="4" t="str">
        <f>'BID I'!B16</f>
        <v>Penghasilan ke 13</v>
      </c>
      <c r="I49" s="1"/>
      <c r="J49" s="1"/>
      <c r="K49" s="91">
        <f>'BID I'!F16</f>
        <v>5500000</v>
      </c>
      <c r="L49" s="1" t="s">
        <v>1845</v>
      </c>
    </row>
    <row r="50" spans="1:13" x14ac:dyDescent="0.25">
      <c r="A50" s="1"/>
      <c r="B50" s="1"/>
      <c r="C50" s="1"/>
      <c r="D50" s="1"/>
      <c r="E50" s="1"/>
      <c r="F50" s="1"/>
      <c r="G50" s="1488" t="s">
        <v>2694</v>
      </c>
      <c r="H50" s="4" t="str">
        <f>'BID I'!B17</f>
        <v>Tunjangan Perbekel</v>
      </c>
      <c r="I50" s="1"/>
      <c r="J50" s="1"/>
      <c r="K50" s="91">
        <f>'BID I'!F17</f>
        <v>104400000</v>
      </c>
      <c r="L50" s="1" t="s">
        <v>1845</v>
      </c>
    </row>
    <row r="51" spans="1:13" x14ac:dyDescent="0.25">
      <c r="A51" s="1"/>
      <c r="B51" s="1"/>
      <c r="C51" s="1"/>
      <c r="D51" s="1"/>
      <c r="E51" s="1"/>
      <c r="F51" s="1"/>
      <c r="G51" s="1488" t="s">
        <v>2694</v>
      </c>
      <c r="H51" s="4" t="str">
        <f>'BID I'!B18</f>
        <v>Tunjangan Hari Raya</v>
      </c>
      <c r="I51" s="1"/>
      <c r="J51" s="1"/>
      <c r="K51" s="91">
        <f>'BID I'!F18</f>
        <v>5500000</v>
      </c>
      <c r="L51" s="1" t="s">
        <v>1845</v>
      </c>
    </row>
    <row r="52" spans="1:13" ht="45" x14ac:dyDescent="0.25">
      <c r="A52" s="1027">
        <v>1</v>
      </c>
      <c r="B52" s="1027">
        <v>1</v>
      </c>
      <c r="C52" s="1491" t="s">
        <v>2694</v>
      </c>
      <c r="D52" s="1027"/>
      <c r="E52" s="1027"/>
      <c r="F52" s="1027"/>
      <c r="G52" s="1027"/>
      <c r="H52" s="1028" t="str">
        <f>'BID I'!B35</f>
        <v>: Penyediaan Penghasilan tetap dan Tunjangan Perangkat Desa</v>
      </c>
      <c r="I52" s="1027"/>
      <c r="J52" s="1027"/>
      <c r="K52" s="1492">
        <f>SUM(K55:K56)</f>
        <v>1050277376</v>
      </c>
      <c r="L52" s="1027"/>
      <c r="M52" s="36">
        <f>'BID I'!F61</f>
        <v>1050277376</v>
      </c>
    </row>
    <row r="53" spans="1:13" x14ac:dyDescent="0.25">
      <c r="A53" s="1"/>
      <c r="B53" s="1"/>
      <c r="C53" s="1"/>
      <c r="D53" s="1">
        <v>5</v>
      </c>
      <c r="E53" s="1">
        <v>1</v>
      </c>
      <c r="F53" s="1"/>
      <c r="G53" s="1"/>
      <c r="H53" s="4" t="str">
        <f>'BID I'!B40</f>
        <v xml:space="preserve">Belanja Pegawai </v>
      </c>
      <c r="I53" s="1"/>
      <c r="J53" s="1"/>
      <c r="K53" s="91"/>
      <c r="L53" s="1"/>
    </row>
    <row r="54" spans="1:13" ht="45" x14ac:dyDescent="0.25">
      <c r="A54" s="1"/>
      <c r="B54" s="1"/>
      <c r="C54" s="1"/>
      <c r="D54" s="1"/>
      <c r="E54" s="1"/>
      <c r="F54" s="1488" t="s">
        <v>2694</v>
      </c>
      <c r="G54" s="1"/>
      <c r="H54" s="4" t="str">
        <f>'BID I'!B41</f>
        <v>Penghasilan tetap dan Tunjangan Perangkat Desa</v>
      </c>
      <c r="I54" s="1"/>
      <c r="J54" s="1"/>
      <c r="K54" s="91"/>
      <c r="L54" s="1"/>
    </row>
    <row r="55" spans="1:13" ht="30" x14ac:dyDescent="0.25">
      <c r="A55" s="1"/>
      <c r="B55" s="1"/>
      <c r="C55" s="1"/>
      <c r="D55" s="1"/>
      <c r="E55" s="1"/>
      <c r="F55" s="1"/>
      <c r="G55" s="1488" t="s">
        <v>2679</v>
      </c>
      <c r="H55" s="4" t="str">
        <f>'BID I'!B42</f>
        <v>Penghasilan tetap Perangkat Desa</v>
      </c>
      <c r="I55" s="1"/>
      <c r="J55" s="1"/>
      <c r="K55" s="91">
        <f>SUM('BID I'!F43:F45)</f>
        <v>523577376</v>
      </c>
      <c r="L55" s="1" t="s">
        <v>1409</v>
      </c>
    </row>
    <row r="56" spans="1:13" x14ac:dyDescent="0.25">
      <c r="A56" s="1"/>
      <c r="B56" s="1"/>
      <c r="C56" s="1"/>
      <c r="D56" s="1"/>
      <c r="E56" s="1"/>
      <c r="F56" s="1"/>
      <c r="G56" s="1488" t="s">
        <v>2694</v>
      </c>
      <c r="H56" s="1" t="str">
        <f>'BID I'!B47</f>
        <v>Tunjangan Perangkat Desa</v>
      </c>
      <c r="I56" s="1"/>
      <c r="J56" s="1"/>
      <c r="K56" s="91">
        <f>SUM('BID I'!F48:F59)</f>
        <v>526700000</v>
      </c>
      <c r="L56" s="1" t="s">
        <v>1845</v>
      </c>
    </row>
    <row r="57" spans="1:13" ht="60" x14ac:dyDescent="0.25">
      <c r="A57" s="1027">
        <v>1</v>
      </c>
      <c r="B57" s="1027">
        <v>1</v>
      </c>
      <c r="C57" s="1491" t="s">
        <v>2696</v>
      </c>
      <c r="D57" s="1027"/>
      <c r="E57" s="1027"/>
      <c r="F57" s="1027"/>
      <c r="G57" s="1027"/>
      <c r="H57" s="1028" t="str">
        <f>'BID I'!B75</f>
        <v>Penyediaan Jaminan Kesehatan dan Ketenaga Kerjaan Bagi Perbekel dan Perangkat Desa</v>
      </c>
      <c r="I57" s="1027"/>
      <c r="J57" s="1027"/>
      <c r="K57" s="1492">
        <f>SUM(K58:K63)</f>
        <v>77457316.560000002</v>
      </c>
      <c r="L57" s="1027"/>
      <c r="M57" s="36">
        <f>'BID I'!F93</f>
        <v>77457316.560000002</v>
      </c>
    </row>
    <row r="58" spans="1:13" x14ac:dyDescent="0.25">
      <c r="A58" s="1"/>
      <c r="B58" s="1"/>
      <c r="C58" s="1"/>
      <c r="D58" s="1">
        <v>5</v>
      </c>
      <c r="E58" s="1">
        <v>1</v>
      </c>
      <c r="F58" s="1"/>
      <c r="G58" s="1"/>
      <c r="H58" s="4" t="str">
        <f>'BID I'!B80</f>
        <v>Belanja Pegawai :</v>
      </c>
      <c r="I58" s="1"/>
      <c r="J58" s="1"/>
      <c r="K58" s="91"/>
      <c r="L58" s="1"/>
    </row>
    <row r="59" spans="1:13" ht="30" x14ac:dyDescent="0.25">
      <c r="A59" s="1"/>
      <c r="B59" s="1"/>
      <c r="C59" s="1"/>
      <c r="D59" s="1"/>
      <c r="E59" s="1"/>
      <c r="F59" s="1">
        <v>3</v>
      </c>
      <c r="G59" s="1"/>
      <c r="H59" s="4" t="str">
        <f>'BID I'!B81</f>
        <v>Jaminan sosial Perbekel dan Perangkat Desa</v>
      </c>
      <c r="I59" s="1"/>
      <c r="J59" s="1"/>
      <c r="K59" s="91"/>
      <c r="L59" s="1"/>
    </row>
    <row r="60" spans="1:13" ht="30" x14ac:dyDescent="0.25">
      <c r="A60" s="1"/>
      <c r="B60" s="1"/>
      <c r="C60" s="1"/>
      <c r="D60" s="1"/>
      <c r="E60" s="1"/>
      <c r="F60" s="1"/>
      <c r="G60" s="1488" t="s">
        <v>2679</v>
      </c>
      <c r="H60" s="4" t="str">
        <f>'BID I'!B82</f>
        <v xml:space="preserve">Jaminan Kesehatan perbekel </v>
      </c>
      <c r="I60" s="1"/>
      <c r="J60" s="1"/>
      <c r="K60" s="91">
        <f>'BID I'!F82</f>
        <v>660000</v>
      </c>
      <c r="L60" s="1" t="s">
        <v>1845</v>
      </c>
    </row>
    <row r="61" spans="1:13" ht="30" x14ac:dyDescent="0.25">
      <c r="A61" s="1"/>
      <c r="B61" s="1"/>
      <c r="C61" s="1"/>
      <c r="D61" s="1"/>
      <c r="E61" s="1"/>
      <c r="F61" s="1"/>
      <c r="G61" s="1488" t="s">
        <v>2694</v>
      </c>
      <c r="H61" s="4" t="str">
        <f>'BID I'!B83</f>
        <v>Jaminan Kesehatan Perangkat Desa</v>
      </c>
      <c r="I61" s="1"/>
      <c r="J61" s="1"/>
      <c r="K61" s="91">
        <f>SUM('BID I'!F84:F86)</f>
        <v>5960836.5599999996</v>
      </c>
      <c r="L61" s="1" t="s">
        <v>1845</v>
      </c>
    </row>
    <row r="62" spans="1:13" ht="30" x14ac:dyDescent="0.25">
      <c r="A62" s="1"/>
      <c r="B62" s="1"/>
      <c r="C62" s="1"/>
      <c r="D62" s="1"/>
      <c r="E62" s="1"/>
      <c r="F62" s="1"/>
      <c r="G62" s="1488" t="s">
        <v>2696</v>
      </c>
      <c r="H62" s="4" t="str">
        <f>'BID I'!B87</f>
        <v>Jaminan Ketenagakerjaan Perbekel</v>
      </c>
      <c r="I62" s="1"/>
      <c r="J62" s="1"/>
      <c r="K62" s="91">
        <f>'BID I'!F87</f>
        <v>10632960</v>
      </c>
      <c r="L62" s="1" t="s">
        <v>1845</v>
      </c>
    </row>
    <row r="63" spans="1:13" ht="45" x14ac:dyDescent="0.25">
      <c r="A63" s="1"/>
      <c r="B63" s="1"/>
      <c r="C63" s="1"/>
      <c r="D63" s="1"/>
      <c r="E63" s="1"/>
      <c r="F63" s="1"/>
      <c r="G63" s="1488" t="s">
        <v>2697</v>
      </c>
      <c r="H63" s="4" t="str">
        <f>'BID I'!B88</f>
        <v>Jaminan Ketenagakerajaan Perangkat Desa</v>
      </c>
      <c r="I63" s="1"/>
      <c r="J63" s="1"/>
      <c r="K63" s="91">
        <f>SUM('BID I'!F89:F91)</f>
        <v>60203520</v>
      </c>
      <c r="L63" s="1" t="s">
        <v>1845</v>
      </c>
    </row>
    <row r="64" spans="1:13" ht="30" x14ac:dyDescent="0.25">
      <c r="A64" s="1027">
        <v>1</v>
      </c>
      <c r="B64" s="1027" t="s">
        <v>2698</v>
      </c>
      <c r="C64" s="1027"/>
      <c r="D64" s="1027"/>
      <c r="E64" s="1027"/>
      <c r="F64" s="1027"/>
      <c r="G64" s="1027"/>
      <c r="H64" s="1028" t="str">
        <f>'BID I'!B109</f>
        <v>: Penyediaan Operasional Pemerintah Desa</v>
      </c>
      <c r="I64" s="1027"/>
      <c r="J64" s="1027"/>
      <c r="K64" s="1492">
        <f>SUM(K65:K96)</f>
        <v>595935188</v>
      </c>
      <c r="L64" s="1027"/>
      <c r="M64" s="36">
        <f>'BID I'!F276</f>
        <v>595935188</v>
      </c>
    </row>
    <row r="65" spans="1:13" x14ac:dyDescent="0.25">
      <c r="A65" s="1"/>
      <c r="B65" s="1"/>
      <c r="C65" s="1"/>
      <c r="D65" s="1">
        <v>5</v>
      </c>
      <c r="E65" s="1">
        <v>2</v>
      </c>
      <c r="F65" s="1"/>
      <c r="G65" s="1"/>
      <c r="H65" s="4" t="str">
        <f>'BID I'!B114</f>
        <v>Belanja Barang Jasa :</v>
      </c>
      <c r="I65" s="1"/>
      <c r="J65" s="1"/>
      <c r="K65" s="91"/>
      <c r="L65" s="1"/>
      <c r="M65" s="32"/>
    </row>
    <row r="66" spans="1:13" ht="30" x14ac:dyDescent="0.25">
      <c r="A66" s="1"/>
      <c r="B66" s="1"/>
      <c r="C66" s="1"/>
      <c r="D66" s="1"/>
      <c r="E66" s="1"/>
      <c r="F66" s="1">
        <v>1</v>
      </c>
      <c r="G66" s="1"/>
      <c r="H66" s="4" t="str">
        <f>'BID I'!B115</f>
        <v>Belanja Barang Perlengkapan</v>
      </c>
      <c r="I66" s="1"/>
      <c r="J66" s="1"/>
      <c r="K66" s="91"/>
      <c r="L66" s="1"/>
    </row>
    <row r="67" spans="1:13" ht="45" x14ac:dyDescent="0.25">
      <c r="A67" s="1"/>
      <c r="B67" s="1"/>
      <c r="C67" s="1"/>
      <c r="D67" s="1"/>
      <c r="E67" s="1"/>
      <c r="F67" s="1"/>
      <c r="G67" s="1488" t="s">
        <v>2679</v>
      </c>
      <c r="H67" s="4" t="str">
        <f>'BID I'!B116</f>
        <v>Belanja perlengkapan alat tulis kantor dan Benda Pos</v>
      </c>
      <c r="I67" s="1"/>
      <c r="J67" s="1"/>
      <c r="K67" s="91">
        <f>SUM('BID I'!F117:F146)</f>
        <v>59918500</v>
      </c>
      <c r="L67" s="1" t="s">
        <v>1409</v>
      </c>
    </row>
    <row r="68" spans="1:13" ht="30" x14ac:dyDescent="0.25">
      <c r="A68" s="1"/>
      <c r="B68" s="1"/>
      <c r="C68" s="1"/>
      <c r="D68" s="1"/>
      <c r="E68" s="1"/>
      <c r="F68" s="1"/>
      <c r="G68" s="1488" t="s">
        <v>2694</v>
      </c>
      <c r="H68" s="4" t="str">
        <f>'BID I'!B148</f>
        <v>Belanja Perlengkapan alat alat listrik</v>
      </c>
      <c r="I68" s="1"/>
      <c r="J68" s="1"/>
      <c r="K68" s="91">
        <f>'BID I'!F149</f>
        <v>2600000</v>
      </c>
      <c r="L68" s="1" t="s">
        <v>1409</v>
      </c>
    </row>
    <row r="69" spans="1:13" ht="60" x14ac:dyDescent="0.25">
      <c r="A69" s="1"/>
      <c r="B69" s="1"/>
      <c r="C69" s="1"/>
      <c r="D69" s="1"/>
      <c r="E69" s="1"/>
      <c r="F69" s="1"/>
      <c r="G69" s="1488" t="s">
        <v>2696</v>
      </c>
      <c r="H69" s="4" t="str">
        <f>'BID I'!B151</f>
        <v xml:space="preserve">Belanja perlengkapan alat alat rumah tangga/peralatan dan Bahan kebersihan </v>
      </c>
      <c r="I69" s="1"/>
      <c r="J69" s="1"/>
      <c r="K69" s="91">
        <f>'BID I'!F152+'BID I'!F153+'BID I'!F154+'BID I'!F155+'BID I'!F156+'BID I'!F157+'BID I'!F158+'BID I'!F160+'BID I'!F161+'BID I'!F162+'BID I'!F163</f>
        <v>7188600</v>
      </c>
      <c r="L69" s="1" t="s">
        <v>1409</v>
      </c>
    </row>
    <row r="70" spans="1:13" ht="30.75" customHeight="1" x14ac:dyDescent="0.25">
      <c r="A70" s="1"/>
      <c r="B70" s="1"/>
      <c r="C70" s="1"/>
      <c r="D70" s="1"/>
      <c r="E70" s="1"/>
      <c r="F70" s="1"/>
      <c r="G70" s="1488" t="s">
        <v>2696</v>
      </c>
      <c r="H70" s="4" t="str">
        <f>'BID I'!B151</f>
        <v xml:space="preserve">Belanja perlengkapan alat alat rumah tangga/peralatan dan Bahan kebersihan </v>
      </c>
      <c r="I70" s="1"/>
      <c r="J70" s="1"/>
      <c r="K70" s="91">
        <f>'BID I'!F159</f>
        <v>350000</v>
      </c>
      <c r="L70" s="4" t="s">
        <v>2570</v>
      </c>
    </row>
    <row r="71" spans="1:13" ht="60" x14ac:dyDescent="0.25">
      <c r="A71" s="1"/>
      <c r="B71" s="1"/>
      <c r="C71" s="1"/>
      <c r="D71" s="1"/>
      <c r="E71" s="1"/>
      <c r="F71" s="1"/>
      <c r="G71" s="1488" t="s">
        <v>2697</v>
      </c>
      <c r="H71" s="4" t="str">
        <f>'BID I'!B164</f>
        <v>Belanja bahan bakar minyak/ gas/ isi ulang tabung pemadam kebakaran</v>
      </c>
      <c r="I71" s="1"/>
      <c r="J71" s="1"/>
      <c r="K71" s="91">
        <f>SUM('BID I'!F165:F167)</f>
        <v>19050000</v>
      </c>
      <c r="L71" s="1" t="s">
        <v>1409</v>
      </c>
    </row>
    <row r="72" spans="1:13" ht="60" x14ac:dyDescent="0.25">
      <c r="A72" s="1"/>
      <c r="B72" s="1"/>
      <c r="C72" s="1"/>
      <c r="D72" s="1"/>
      <c r="E72" s="1"/>
      <c r="F72" s="1"/>
      <c r="G72" s="1488" t="s">
        <v>2699</v>
      </c>
      <c r="H72" s="4" t="str">
        <f>'BID I'!B169</f>
        <v xml:space="preserve">Belanja Perlengkapan Cetak/ pengadaan - Belanja barang cetak dan pengadaan </v>
      </c>
      <c r="I72" s="1"/>
      <c r="J72" s="1"/>
      <c r="K72" s="91">
        <f>SUM('BID I'!F170:F183)</f>
        <v>13702000</v>
      </c>
      <c r="L72" s="1" t="s">
        <v>1409</v>
      </c>
    </row>
    <row r="73" spans="1:13" ht="60" x14ac:dyDescent="0.25">
      <c r="A73" s="1"/>
      <c r="B73" s="1"/>
      <c r="C73" s="1"/>
      <c r="D73" s="1"/>
      <c r="E73" s="1"/>
      <c r="F73" s="1"/>
      <c r="G73" s="1488" t="s">
        <v>2700</v>
      </c>
      <c r="H73" s="4" t="str">
        <f>'BID I'!B185</f>
        <v>Belanja perlengkapan barang konsumsi (makan/ minum) Belanja Barang konsumsi</v>
      </c>
      <c r="I73" s="1"/>
      <c r="J73" s="1"/>
      <c r="K73" s="91">
        <f>'BID I'!F187+'BID I'!F188+'BID I'!F189+'BID I'!F190+'BID I'!F191</f>
        <v>9785000</v>
      </c>
      <c r="L73" s="1" t="s">
        <v>1409</v>
      </c>
    </row>
    <row r="74" spans="1:13" ht="61.5" customHeight="1" x14ac:dyDescent="0.25">
      <c r="A74" s="1"/>
      <c r="B74" s="1"/>
      <c r="C74" s="1"/>
      <c r="D74" s="1"/>
      <c r="E74" s="1"/>
      <c r="F74" s="1"/>
      <c r="G74" s="1488" t="s">
        <v>2700</v>
      </c>
      <c r="H74" s="4" t="str">
        <f>'BID I'!B185</f>
        <v>Belanja perlengkapan barang konsumsi (makan/ minum) Belanja Barang konsumsi</v>
      </c>
      <c r="I74" s="1"/>
      <c r="J74" s="1"/>
      <c r="K74" s="91">
        <f>'BID I'!F186</f>
        <v>1080000</v>
      </c>
      <c r="L74" s="4" t="s">
        <v>2570</v>
      </c>
    </row>
    <row r="75" spans="1:13" x14ac:dyDescent="0.25">
      <c r="A75" s="1"/>
      <c r="B75" s="1"/>
      <c r="C75" s="1"/>
      <c r="D75" s="1"/>
      <c r="E75" s="1"/>
      <c r="F75" s="1"/>
      <c r="G75" s="1488" t="s">
        <v>2701</v>
      </c>
      <c r="H75" s="1" t="str">
        <f>'BID I'!B193</f>
        <v xml:space="preserve">Belanja bahan/ material </v>
      </c>
      <c r="I75" s="1"/>
      <c r="J75" s="1"/>
      <c r="K75" s="91">
        <f>SUM('BID I'!F194:F195)</f>
        <v>12600000</v>
      </c>
      <c r="L75" s="1" t="s">
        <v>1409</v>
      </c>
    </row>
    <row r="76" spans="1:13" ht="30" x14ac:dyDescent="0.25">
      <c r="A76" s="1"/>
      <c r="B76" s="1"/>
      <c r="C76" s="1"/>
      <c r="D76" s="1"/>
      <c r="E76" s="1"/>
      <c r="F76" s="1"/>
      <c r="G76" s="1488" t="s">
        <v>2702</v>
      </c>
      <c r="H76" s="4" t="str">
        <f>'BID I'!B197</f>
        <v>Belanja bendera/ umbul umbul/ spanduk</v>
      </c>
      <c r="I76" s="1"/>
      <c r="J76" s="1"/>
      <c r="K76" s="91">
        <f>SUM('BID I'!F198:F202)</f>
        <v>6935000</v>
      </c>
      <c r="L76" s="1" t="s">
        <v>1409</v>
      </c>
    </row>
    <row r="77" spans="1:13" ht="30" x14ac:dyDescent="0.25">
      <c r="A77" s="1"/>
      <c r="B77" s="1"/>
      <c r="C77" s="1"/>
      <c r="D77" s="1"/>
      <c r="E77" s="1"/>
      <c r="F77" s="1"/>
      <c r="G77" s="1488" t="s">
        <v>2703</v>
      </c>
      <c r="H77" s="4" t="str">
        <f>'BID I'!B204</f>
        <v>Belanja Pakaian Dinas/ seragam/ atribut</v>
      </c>
      <c r="I77" s="1"/>
      <c r="J77" s="1"/>
      <c r="K77" s="91">
        <f>'BID I'!F205</f>
        <v>23250000</v>
      </c>
      <c r="L77" s="1" t="s">
        <v>1409</v>
      </c>
    </row>
    <row r="78" spans="1:13" ht="30" x14ac:dyDescent="0.25">
      <c r="A78" s="1"/>
      <c r="B78" s="1"/>
      <c r="C78" s="1"/>
      <c r="D78" s="1"/>
      <c r="E78" s="1"/>
      <c r="F78" s="1"/>
      <c r="G78" s="1">
        <v>10</v>
      </c>
      <c r="H78" s="1" t="str">
        <f>'BID I'!B207</f>
        <v>Belanja obat obatan</v>
      </c>
      <c r="I78" s="1"/>
      <c r="J78" s="1"/>
      <c r="K78" s="91">
        <f>'BID I'!F208</f>
        <v>500000</v>
      </c>
      <c r="L78" s="4" t="s">
        <v>2570</v>
      </c>
    </row>
    <row r="79" spans="1:13" x14ac:dyDescent="0.25">
      <c r="A79" s="1"/>
      <c r="B79" s="1"/>
      <c r="C79" s="1"/>
      <c r="D79" s="1">
        <v>5</v>
      </c>
      <c r="E79" s="1">
        <v>2</v>
      </c>
      <c r="F79" s="1">
        <v>2</v>
      </c>
      <c r="G79" s="1"/>
      <c r="H79" s="4" t="str">
        <f>'BID I'!B210</f>
        <v>Belanja jasa honorarium</v>
      </c>
      <c r="I79" s="1"/>
      <c r="J79" s="1"/>
      <c r="K79" s="91"/>
      <c r="L79" s="1"/>
    </row>
    <row r="80" spans="1:13" ht="45" x14ac:dyDescent="0.25">
      <c r="A80" s="1"/>
      <c r="B80" s="1"/>
      <c r="C80" s="1"/>
      <c r="D80" s="1"/>
      <c r="E80" s="1"/>
      <c r="F80" s="1"/>
      <c r="G80" s="1488" t="s">
        <v>2679</v>
      </c>
      <c r="H80" s="4" t="str">
        <f>'BID I'!B211</f>
        <v>Belanja jasa honorarium Tim yang melaksanakan kegiatan</v>
      </c>
      <c r="I80" s="1"/>
      <c r="J80" s="1"/>
      <c r="K80" s="91">
        <f>SUM('BID I'!F212:F218)</f>
        <v>159150000</v>
      </c>
      <c r="L80" s="1" t="s">
        <v>1409</v>
      </c>
    </row>
    <row r="81" spans="1:12" x14ac:dyDescent="0.25">
      <c r="A81" s="1"/>
      <c r="B81" s="1"/>
      <c r="C81" s="1"/>
      <c r="D81" s="1">
        <v>5</v>
      </c>
      <c r="E81" s="1">
        <v>2</v>
      </c>
      <c r="F81" s="1">
        <v>3</v>
      </c>
      <c r="G81" s="1"/>
      <c r="H81" s="1" t="str">
        <f>'BID I'!B220</f>
        <v>Belanja Perjalanan Dinas</v>
      </c>
      <c r="I81" s="1"/>
      <c r="J81" s="1"/>
      <c r="K81" s="91"/>
      <c r="L81" s="1"/>
    </row>
    <row r="82" spans="1:12" ht="30" x14ac:dyDescent="0.25">
      <c r="A82" s="1"/>
      <c r="B82" s="1"/>
      <c r="C82" s="1"/>
      <c r="D82" s="1"/>
      <c r="E82" s="1"/>
      <c r="F82" s="1"/>
      <c r="G82" s="1488" t="s">
        <v>2694</v>
      </c>
      <c r="H82" s="4" t="str">
        <f>'BID I'!B221</f>
        <v>Perjalanan Dinas Luar Kabupaten/ Kota</v>
      </c>
      <c r="I82" s="1"/>
      <c r="J82" s="1"/>
      <c r="K82" s="91">
        <f>'BID I'!F221</f>
        <v>100000000</v>
      </c>
      <c r="L82" s="1" t="s">
        <v>1409</v>
      </c>
    </row>
    <row r="83" spans="1:12" ht="30" x14ac:dyDescent="0.25">
      <c r="A83" s="1"/>
      <c r="B83" s="1"/>
      <c r="C83" s="1"/>
      <c r="D83" s="1">
        <v>5</v>
      </c>
      <c r="E83" s="1">
        <v>2</v>
      </c>
      <c r="F83" s="1">
        <v>5</v>
      </c>
      <c r="G83" s="1"/>
      <c r="H83" s="4" t="str">
        <f>'BID I'!B223</f>
        <v>Belanja Operasional Perkantoran</v>
      </c>
      <c r="I83" s="1"/>
      <c r="J83" s="1"/>
      <c r="K83" s="91"/>
      <c r="L83" s="1"/>
    </row>
    <row r="84" spans="1:12" ht="30" x14ac:dyDescent="0.25">
      <c r="A84" s="1"/>
      <c r="B84" s="1"/>
      <c r="C84" s="1"/>
      <c r="D84" s="1"/>
      <c r="E84" s="1"/>
      <c r="F84" s="1"/>
      <c r="G84" s="1488" t="s">
        <v>2679</v>
      </c>
      <c r="H84" s="4" t="str">
        <f>'BID I'!B224</f>
        <v>Belanja jasa layanan listrik</v>
      </c>
      <c r="I84" s="1"/>
      <c r="J84" s="1"/>
      <c r="K84" s="91">
        <f>'BID I'!F224</f>
        <v>36600000</v>
      </c>
      <c r="L84" s="1" t="s">
        <v>1409</v>
      </c>
    </row>
    <row r="85" spans="1:12" ht="30" x14ac:dyDescent="0.25">
      <c r="A85" s="1"/>
      <c r="B85" s="1"/>
      <c r="C85" s="1"/>
      <c r="D85" s="1"/>
      <c r="E85" s="1"/>
      <c r="F85" s="1"/>
      <c r="G85" s="1488" t="s">
        <v>2696</v>
      </c>
      <c r="H85" s="4" t="str">
        <f>'BID I'!B225</f>
        <v>Belanja jasa langganan majalah/ surat kabar</v>
      </c>
      <c r="I85" s="1"/>
      <c r="J85" s="1"/>
      <c r="K85" s="91">
        <f>'BID I'!F225</f>
        <v>1440000</v>
      </c>
      <c r="L85" s="1" t="s">
        <v>1409</v>
      </c>
    </row>
    <row r="86" spans="1:12" ht="30" x14ac:dyDescent="0.25">
      <c r="A86" s="1"/>
      <c r="B86" s="1"/>
      <c r="C86" s="1"/>
      <c r="D86" s="1"/>
      <c r="E86" s="1"/>
      <c r="F86" s="1"/>
      <c r="G86" s="1488" t="s">
        <v>2697</v>
      </c>
      <c r="H86" s="4" t="str">
        <f>'BID I'!B226</f>
        <v>Belanja jasa langganan telepon</v>
      </c>
      <c r="I86" s="1"/>
      <c r="J86" s="1"/>
      <c r="K86" s="91">
        <f>'BID I'!F226</f>
        <v>1200000</v>
      </c>
      <c r="L86" s="1" t="s">
        <v>1409</v>
      </c>
    </row>
    <row r="87" spans="1:12" ht="30" x14ac:dyDescent="0.25">
      <c r="A87" s="1"/>
      <c r="B87" s="1"/>
      <c r="C87" s="1"/>
      <c r="D87" s="1"/>
      <c r="E87" s="1"/>
      <c r="F87" s="1"/>
      <c r="G87" s="1488" t="s">
        <v>2699</v>
      </c>
      <c r="H87" s="4" t="str">
        <f>'BID I'!B227</f>
        <v>Belanja jasa langganan internet</v>
      </c>
      <c r="I87" s="1"/>
      <c r="J87" s="1"/>
      <c r="K87" s="91">
        <f>'BID I'!F227</f>
        <v>15600000</v>
      </c>
      <c r="L87" s="1" t="s">
        <v>1409</v>
      </c>
    </row>
    <row r="88" spans="1:12" ht="30" x14ac:dyDescent="0.25">
      <c r="A88" s="1"/>
      <c r="B88" s="1"/>
      <c r="C88" s="1"/>
      <c r="D88" s="1"/>
      <c r="E88" s="1"/>
      <c r="F88" s="1"/>
      <c r="G88" s="1488" t="s">
        <v>2701</v>
      </c>
      <c r="H88" s="4" t="str">
        <f>'BID I'!B228</f>
        <v>Belanja Jasa Perpanjangan ijin/ pajak</v>
      </c>
      <c r="I88" s="1"/>
      <c r="J88" s="1"/>
      <c r="K88" s="91">
        <f>'BID I'!F230+'BID I'!F231+'BID I'!F232+'BID I'!F233+'BID I'!F234+'BID I'!F235</f>
        <v>8161200</v>
      </c>
      <c r="L88" s="1" t="s">
        <v>1409</v>
      </c>
    </row>
    <row r="89" spans="1:12" ht="33" customHeight="1" x14ac:dyDescent="0.25">
      <c r="A89" s="1"/>
      <c r="B89" s="1"/>
      <c r="C89" s="1"/>
      <c r="D89" s="1"/>
      <c r="E89" s="1"/>
      <c r="F89" s="1"/>
      <c r="G89" s="1488" t="s">
        <v>2701</v>
      </c>
      <c r="H89" s="4" t="str">
        <f>'BID I'!B228</f>
        <v>Belanja Jasa Perpanjangan ijin/ pajak</v>
      </c>
      <c r="I89" s="1"/>
      <c r="J89" s="1"/>
      <c r="K89" s="91">
        <f>'BID I'!F229</f>
        <v>21250000</v>
      </c>
      <c r="L89" s="4" t="s">
        <v>2922</v>
      </c>
    </row>
    <row r="90" spans="1:12" ht="45" x14ac:dyDescent="0.25">
      <c r="A90" s="1"/>
      <c r="B90" s="1"/>
      <c r="C90" s="1"/>
      <c r="D90" s="1"/>
      <c r="E90" s="1"/>
      <c r="F90" s="1"/>
      <c r="G90" s="1488" t="s">
        <v>2701</v>
      </c>
      <c r="H90" s="4" t="str">
        <f>'BID I'!B228</f>
        <v>Belanja Jasa Perpanjangan ijin/ pajak</v>
      </c>
      <c r="I90" s="1"/>
      <c r="J90" s="1"/>
      <c r="K90" s="91">
        <f>'BID I'!F236</f>
        <v>300000</v>
      </c>
      <c r="L90" s="4" t="s">
        <v>2704</v>
      </c>
    </row>
    <row r="91" spans="1:12" ht="30" x14ac:dyDescent="0.25">
      <c r="A91" s="1"/>
      <c r="B91" s="1"/>
      <c r="C91" s="1"/>
      <c r="D91" s="1"/>
      <c r="E91" s="1"/>
      <c r="F91" s="1"/>
      <c r="G91" s="1488">
        <v>99</v>
      </c>
      <c r="H91" s="4" t="str">
        <f>'BID I'!B237</f>
        <v>Belanja Operasional Perkantoran lainnya</v>
      </c>
      <c r="I91" s="1"/>
      <c r="J91" s="1"/>
      <c r="K91" s="91">
        <f>'BID I'!F238</f>
        <v>120000</v>
      </c>
      <c r="L91" s="4" t="s">
        <v>2567</v>
      </c>
    </row>
    <row r="92" spans="1:12" x14ac:dyDescent="0.25">
      <c r="A92" s="1"/>
      <c r="B92" s="1"/>
      <c r="C92" s="1"/>
      <c r="D92" s="1">
        <v>5</v>
      </c>
      <c r="E92" s="1">
        <v>2</v>
      </c>
      <c r="F92" s="1">
        <v>6</v>
      </c>
      <c r="G92" s="1"/>
      <c r="H92" s="1" t="str">
        <f>'BID I'!B239</f>
        <v>Belanja Pemeliharaan</v>
      </c>
      <c r="I92" s="1"/>
      <c r="J92" s="1"/>
      <c r="K92" s="91"/>
      <c r="L92" s="1"/>
    </row>
    <row r="93" spans="1:12" ht="30" x14ac:dyDescent="0.25">
      <c r="A93" s="1"/>
      <c r="B93" s="1"/>
      <c r="C93" s="1"/>
      <c r="D93" s="1"/>
      <c r="E93" s="1"/>
      <c r="F93" s="1"/>
      <c r="G93" s="1488" t="s">
        <v>2694</v>
      </c>
      <c r="H93" s="4" t="str">
        <f>'BID I'!B240</f>
        <v>Belanja Pemeliharaan Kendaraan Bermotor</v>
      </c>
      <c r="I93" s="1"/>
      <c r="J93" s="1"/>
      <c r="K93" s="91">
        <f>SUM('BID I'!F242:F247)</f>
        <v>14550000</v>
      </c>
      <c r="L93" s="1" t="s">
        <v>1409</v>
      </c>
    </row>
    <row r="94" spans="1:12" ht="30" x14ac:dyDescent="0.25">
      <c r="A94" s="1"/>
      <c r="B94" s="1"/>
      <c r="C94" s="1"/>
      <c r="D94" s="1"/>
      <c r="E94" s="1"/>
      <c r="F94" s="1"/>
      <c r="G94" s="1488" t="s">
        <v>2696</v>
      </c>
      <c r="H94" s="4" t="str">
        <f>'BID I'!B249</f>
        <v xml:space="preserve">Belanja pemeliharaan peralatan </v>
      </c>
      <c r="I94" s="1"/>
      <c r="J94" s="1"/>
      <c r="K94" s="91">
        <f>'BID I'!F250+'BID I'!F251+'BID I'!F252+'BID I'!F253+'BID I'!F254+'BID I'!F255+'BID I'!F256+'BID I'!F257+'BID I'!F258+'BID I'!F259+'BID I'!F260+'BID I'!F262+'BID I'!F263+'BID I'!F264</f>
        <v>58404888</v>
      </c>
      <c r="L94" s="1" t="s">
        <v>1409</v>
      </c>
    </row>
    <row r="95" spans="1:12" ht="30" x14ac:dyDescent="0.25">
      <c r="A95" s="1"/>
      <c r="B95" s="1"/>
      <c r="C95" s="1"/>
      <c r="D95" s="1"/>
      <c r="E95" s="1"/>
      <c r="F95" s="1"/>
      <c r="G95" s="1488" t="s">
        <v>2696</v>
      </c>
      <c r="H95" s="4" t="str">
        <f>'BID I'!B249</f>
        <v xml:space="preserve">Belanja pemeliharaan peralatan </v>
      </c>
      <c r="I95" s="1"/>
      <c r="J95" s="1"/>
      <c r="K95" s="91">
        <f>'BID I'!F261</f>
        <v>10700000</v>
      </c>
      <c r="L95" s="4" t="s">
        <v>2570</v>
      </c>
    </row>
    <row r="96" spans="1:12" ht="60" x14ac:dyDescent="0.25">
      <c r="A96" s="1"/>
      <c r="B96" s="1"/>
      <c r="C96" s="1"/>
      <c r="D96" s="1"/>
      <c r="E96" s="1"/>
      <c r="F96" s="1"/>
      <c r="G96" s="1488" t="s">
        <v>2702</v>
      </c>
      <c r="H96" s="4" t="str">
        <f>'BID I'!B266</f>
        <v>Belanja pemeliharaan jaringan dan instalasi ( Lisrik, Telepon, Internet, Kominikasi, Dll)</v>
      </c>
      <c r="I96" s="1"/>
      <c r="J96" s="1"/>
      <c r="K96" s="91">
        <f>SUM('BID I'!F267:F273)</f>
        <v>11500000</v>
      </c>
      <c r="L96" s="1" t="s">
        <v>1409</v>
      </c>
    </row>
    <row r="97" spans="1:13" ht="45" x14ac:dyDescent="0.25">
      <c r="A97" s="1027">
        <v>1</v>
      </c>
      <c r="B97" s="1027">
        <v>1</v>
      </c>
      <c r="C97" s="1491" t="s">
        <v>2697</v>
      </c>
      <c r="D97" s="1027"/>
      <c r="E97" s="1027"/>
      <c r="F97" s="1027"/>
      <c r="G97" s="1027"/>
      <c r="H97" s="1028" t="str">
        <f>'BID I'!B292</f>
        <v>: Penyediaan Oprasional Pemerinthanan Desa ( Kegiatan Rapat - Rapat)</v>
      </c>
      <c r="I97" s="1027"/>
      <c r="J97" s="1027"/>
      <c r="K97" s="1492">
        <f>SUM(K98:K101)</f>
        <v>28980000</v>
      </c>
      <c r="L97" s="1027"/>
      <c r="M97" s="36">
        <f>'BID I'!F307</f>
        <v>28980000</v>
      </c>
    </row>
    <row r="98" spans="1:13" x14ac:dyDescent="0.25">
      <c r="A98" s="1"/>
      <c r="B98" s="1"/>
      <c r="C98" s="1"/>
      <c r="D98" s="1">
        <v>5</v>
      </c>
      <c r="E98" s="1">
        <v>2</v>
      </c>
      <c r="F98" s="1"/>
      <c r="G98" s="1"/>
      <c r="H98" s="4" t="str">
        <f>'BID I'!B297</f>
        <v>Belanja Barang Jasa :</v>
      </c>
      <c r="I98" s="1"/>
      <c r="J98" s="1"/>
      <c r="K98" s="91"/>
      <c r="L98" s="1"/>
    </row>
    <row r="99" spans="1:13" ht="30" x14ac:dyDescent="0.25">
      <c r="A99" s="1"/>
      <c r="B99" s="1"/>
      <c r="C99" s="1"/>
      <c r="D99" s="1"/>
      <c r="E99" s="1"/>
      <c r="F99" s="1">
        <v>1</v>
      </c>
      <c r="G99" s="1"/>
      <c r="H99" s="4" t="str">
        <f>'BID I'!B298</f>
        <v>Belanja Barang Perlengkapan</v>
      </c>
      <c r="I99" s="1"/>
      <c r="J99" s="1"/>
      <c r="K99" s="91"/>
      <c r="L99" s="1"/>
    </row>
    <row r="100" spans="1:13" ht="60" x14ac:dyDescent="0.25">
      <c r="A100" s="1"/>
      <c r="B100" s="1"/>
      <c r="C100" s="1488"/>
      <c r="D100" s="1"/>
      <c r="E100" s="1"/>
      <c r="F100" s="1"/>
      <c r="G100" s="1488" t="s">
        <v>2700</v>
      </c>
      <c r="H100" s="4" t="str">
        <f>'BID I'!B299</f>
        <v>Belanja Perlengkapan barang konsumsi (makan/minum) - Belanja barang konsumsi</v>
      </c>
      <c r="I100" s="1"/>
      <c r="J100" s="1"/>
      <c r="K100" s="91">
        <f>'BID I'!F300</f>
        <v>27000000</v>
      </c>
      <c r="L100" s="1" t="s">
        <v>1845</v>
      </c>
    </row>
    <row r="101" spans="1:13" ht="30" x14ac:dyDescent="0.25">
      <c r="A101" s="1"/>
      <c r="B101" s="1"/>
      <c r="C101" s="1"/>
      <c r="D101" s="1"/>
      <c r="E101" s="1"/>
      <c r="F101" s="1"/>
      <c r="G101" s="1">
        <v>90</v>
      </c>
      <c r="H101" s="4" t="str">
        <f>'BID I'!B302</f>
        <v>Belanja Upakara, Upacara Dan Aci-aci</v>
      </c>
      <c r="I101" s="1"/>
      <c r="J101" s="1"/>
      <c r="K101" s="91">
        <f>SUM('BID I'!F303:F305)</f>
        <v>1980000</v>
      </c>
      <c r="L101" s="1" t="s">
        <v>1845</v>
      </c>
    </row>
    <row r="102" spans="1:13" ht="30" x14ac:dyDescent="0.25">
      <c r="A102" s="1027">
        <v>1</v>
      </c>
      <c r="B102" s="1027">
        <v>1</v>
      </c>
      <c r="C102" s="1491" t="s">
        <v>2699</v>
      </c>
      <c r="D102" s="1027"/>
      <c r="E102" s="1027"/>
      <c r="F102" s="1027"/>
      <c r="G102" s="1027"/>
      <c r="H102" s="1028" t="str">
        <f>'BID I'!B323</f>
        <v>: Penyediaan tunjangan BPD</v>
      </c>
      <c r="I102" s="1027"/>
      <c r="J102" s="1027"/>
      <c r="K102" s="1492">
        <f>K105</f>
        <v>457800000</v>
      </c>
      <c r="L102" s="1027"/>
      <c r="M102" s="36">
        <f>'BID I'!F349</f>
        <v>457800000</v>
      </c>
    </row>
    <row r="103" spans="1:13" x14ac:dyDescent="0.25">
      <c r="A103" s="1"/>
      <c r="B103" s="1"/>
      <c r="C103" s="1"/>
      <c r="D103" s="1">
        <v>5</v>
      </c>
      <c r="E103" s="1">
        <v>1</v>
      </c>
      <c r="F103" s="1"/>
      <c r="G103" s="1"/>
      <c r="H103" s="1" t="str">
        <f>'BID I'!B329</f>
        <v>Belanja Pegawai</v>
      </c>
      <c r="I103" s="1"/>
      <c r="J103" s="1"/>
      <c r="K103" s="91"/>
      <c r="L103" s="1"/>
    </row>
    <row r="104" spans="1:13" x14ac:dyDescent="0.25">
      <c r="A104" s="1"/>
      <c r="B104" s="1"/>
      <c r="C104" s="1"/>
      <c r="D104" s="1"/>
      <c r="E104" s="1"/>
      <c r="F104" s="1">
        <v>4</v>
      </c>
      <c r="G104" s="1"/>
      <c r="H104" s="1" t="str">
        <f>'BID I'!B330</f>
        <v>Tunjangan BPD</v>
      </c>
      <c r="I104" s="1"/>
      <c r="J104" s="1"/>
      <c r="K104" s="91"/>
      <c r="L104" s="1"/>
    </row>
    <row r="105" spans="1:13" x14ac:dyDescent="0.25">
      <c r="A105" s="1"/>
      <c r="B105" s="1"/>
      <c r="C105" s="1"/>
      <c r="D105" s="1"/>
      <c r="E105" s="1"/>
      <c r="F105" s="1"/>
      <c r="G105" s="1488" t="s">
        <v>2679</v>
      </c>
      <c r="H105" s="1" t="str">
        <f>'BID I'!B331</f>
        <v>Tunjangan Kedudukan BPD</v>
      </c>
      <c r="I105" s="1"/>
      <c r="J105" s="1"/>
      <c r="K105" s="91">
        <f>SUM('BID I'!F332:F347)</f>
        <v>457800000</v>
      </c>
      <c r="L105" s="1" t="s">
        <v>1845</v>
      </c>
    </row>
    <row r="106" spans="1:13" ht="30" x14ac:dyDescent="0.25">
      <c r="A106" s="1027">
        <v>1</v>
      </c>
      <c r="B106" s="1027">
        <v>1</v>
      </c>
      <c r="C106" s="1491" t="s">
        <v>2700</v>
      </c>
      <c r="D106" s="1027"/>
      <c r="E106" s="1027"/>
      <c r="F106" s="1027"/>
      <c r="G106" s="1027"/>
      <c r="H106" s="1028" t="str">
        <f>'BID I'!B365</f>
        <v>: Penyediaan Operasional BPD</v>
      </c>
      <c r="I106" s="1027"/>
      <c r="J106" s="1027"/>
      <c r="K106" s="1492">
        <f>SUM(K107:K112)</f>
        <v>15974000</v>
      </c>
      <c r="L106" s="1027"/>
      <c r="M106" s="32">
        <f>'BID I'!F390</f>
        <v>15974000</v>
      </c>
    </row>
    <row r="107" spans="1:13" x14ac:dyDescent="0.25">
      <c r="A107" s="1"/>
      <c r="B107" s="1"/>
      <c r="C107" s="1488"/>
      <c r="D107" s="1">
        <v>5</v>
      </c>
      <c r="E107" s="1">
        <v>2</v>
      </c>
      <c r="F107" s="1"/>
      <c r="G107" s="1"/>
      <c r="H107" s="4" t="str">
        <f>'BID I'!B371</f>
        <v>Belanja Barang Jasa :</v>
      </c>
      <c r="I107" s="1"/>
      <c r="J107" s="1"/>
      <c r="K107" s="91"/>
      <c r="L107" s="1"/>
    </row>
    <row r="108" spans="1:13" ht="30" x14ac:dyDescent="0.25">
      <c r="A108" s="1"/>
      <c r="B108" s="1"/>
      <c r="C108" s="1"/>
      <c r="D108" s="1"/>
      <c r="E108" s="1"/>
      <c r="F108" s="1">
        <v>1</v>
      </c>
      <c r="G108" s="1"/>
      <c r="H108" s="4" t="str">
        <f>'BID I'!B372</f>
        <v>Belanja Barang Perlengkapan</v>
      </c>
      <c r="I108" s="1"/>
      <c r="J108" s="1"/>
      <c r="K108" s="91"/>
      <c r="L108" s="1"/>
    </row>
    <row r="109" spans="1:13" ht="30" x14ac:dyDescent="0.25">
      <c r="A109" s="1"/>
      <c r="B109" s="1"/>
      <c r="C109" s="1"/>
      <c r="D109" s="1"/>
      <c r="E109" s="1"/>
      <c r="F109" s="1"/>
      <c r="G109" s="1488" t="s">
        <v>2679</v>
      </c>
      <c r="H109" s="4" t="str">
        <f>'BID I'!B373</f>
        <v>Belanja alat tulis kantor dan benda pos</v>
      </c>
      <c r="I109" s="1"/>
      <c r="J109" s="1"/>
      <c r="K109" s="91">
        <f>SUM('BID I'!F374:F378)</f>
        <v>4304000</v>
      </c>
      <c r="L109" s="1" t="s">
        <v>1845</v>
      </c>
    </row>
    <row r="110" spans="1:13" ht="60" x14ac:dyDescent="0.25">
      <c r="A110" s="1"/>
      <c r="B110" s="1"/>
      <c r="C110" s="1"/>
      <c r="D110" s="1"/>
      <c r="E110" s="1"/>
      <c r="F110" s="1"/>
      <c r="G110" s="1488" t="s">
        <v>2700</v>
      </c>
      <c r="H110" s="4" t="str">
        <f>'BID I'!B380</f>
        <v>Belanja perlengkapan barang konsumsi (makan/ minum) Belanja Barang konsumsi</v>
      </c>
      <c r="I110" s="1"/>
      <c r="J110" s="1"/>
      <c r="K110" s="91">
        <f>'BID I'!F381+'BID I'!F382</f>
        <v>4140000</v>
      </c>
      <c r="L110" s="1" t="s">
        <v>1845</v>
      </c>
    </row>
    <row r="111" spans="1:13" ht="30" x14ac:dyDescent="0.25">
      <c r="A111" s="1"/>
      <c r="B111" s="1"/>
      <c r="C111" s="1"/>
      <c r="D111" s="1"/>
      <c r="E111" s="1"/>
      <c r="F111" s="1"/>
      <c r="G111" s="1488" t="s">
        <v>2703</v>
      </c>
      <c r="H111" s="4" t="str">
        <f>'BID I'!B384</f>
        <v>Belanja Pakaian Dinas/ seragam/ atribut</v>
      </c>
      <c r="I111" s="1"/>
      <c r="J111" s="1"/>
      <c r="K111" s="91">
        <f>'BID I'!F385</f>
        <v>6750000</v>
      </c>
      <c r="L111" s="1" t="s">
        <v>1845</v>
      </c>
    </row>
    <row r="112" spans="1:13" ht="30" x14ac:dyDescent="0.25">
      <c r="A112" s="1"/>
      <c r="B112" s="1"/>
      <c r="C112" s="1"/>
      <c r="D112" s="1"/>
      <c r="E112" s="1"/>
      <c r="F112" s="1"/>
      <c r="G112" s="1">
        <v>90</v>
      </c>
      <c r="H112" s="4" t="str">
        <f>'BID I'!B387</f>
        <v>Belanja Upakara, Upacara Dan Aci</v>
      </c>
      <c r="I112" s="1"/>
      <c r="J112" s="1"/>
      <c r="K112" s="91">
        <f>SUM('BID I'!F388:F389)</f>
        <v>780000</v>
      </c>
      <c r="L112" s="1" t="s">
        <v>1845</v>
      </c>
    </row>
    <row r="113" spans="1:13" ht="30" x14ac:dyDescent="0.25">
      <c r="A113" s="1027">
        <v>1</v>
      </c>
      <c r="B113" s="1027">
        <v>1</v>
      </c>
      <c r="C113" s="1491" t="s">
        <v>2700</v>
      </c>
      <c r="D113" s="1027"/>
      <c r="E113" s="1027"/>
      <c r="F113" s="1027"/>
      <c r="G113" s="1027"/>
      <c r="H113" s="1028" t="str">
        <f>'BID I'!B406</f>
        <v>: Penyediaan Operasional BPD (Musyawarah BPD)</v>
      </c>
      <c r="I113" s="1027"/>
      <c r="J113" s="1027"/>
      <c r="K113" s="1492">
        <f>SUM(K114:K118)</f>
        <v>12400000</v>
      </c>
      <c r="L113" s="1027"/>
      <c r="M113" s="36">
        <f>'BID I'!F428</f>
        <v>12400000</v>
      </c>
    </row>
    <row r="114" spans="1:13" x14ac:dyDescent="0.25">
      <c r="A114" s="1"/>
      <c r="B114" s="1"/>
      <c r="C114" s="1488"/>
      <c r="D114" s="1">
        <v>5</v>
      </c>
      <c r="E114" s="1">
        <v>2</v>
      </c>
      <c r="F114" s="1"/>
      <c r="G114" s="1"/>
      <c r="H114" s="4" t="str">
        <f>'BID I'!B412</f>
        <v>Belanja Barang Jasa</v>
      </c>
      <c r="I114" s="1"/>
      <c r="J114" s="1"/>
      <c r="K114" s="91"/>
      <c r="L114" s="1"/>
    </row>
    <row r="115" spans="1:13" ht="30" x14ac:dyDescent="0.25">
      <c r="A115" s="1"/>
      <c r="B115" s="1"/>
      <c r="C115" s="1"/>
      <c r="D115" s="1"/>
      <c r="E115" s="1"/>
      <c r="F115" s="1">
        <v>1</v>
      </c>
      <c r="G115" s="1"/>
      <c r="H115" s="4" t="str">
        <f>'BID I'!B413</f>
        <v>Belanja Barang Perlengkapan</v>
      </c>
      <c r="I115" s="1"/>
      <c r="J115" s="1"/>
      <c r="K115" s="91"/>
      <c r="L115" s="1"/>
    </row>
    <row r="116" spans="1:13" ht="60" x14ac:dyDescent="0.25">
      <c r="A116" s="1"/>
      <c r="B116" s="1"/>
      <c r="C116" s="1"/>
      <c r="D116" s="1"/>
      <c r="E116" s="1"/>
      <c r="F116" s="1"/>
      <c r="G116" s="1488" t="s">
        <v>2699</v>
      </c>
      <c r="H116" s="4" t="str">
        <f>'BID I'!B414</f>
        <v>Belanja perlengkapan cetak/pengadaan - belanja barang cetak dan pengadaan</v>
      </c>
      <c r="I116" s="1"/>
      <c r="J116" s="1"/>
      <c r="K116" s="91">
        <f>SUM('BID I'!F415:F416)</f>
        <v>5720000</v>
      </c>
      <c r="L116" s="1" t="s">
        <v>1845</v>
      </c>
    </row>
    <row r="117" spans="1:13" ht="60" x14ac:dyDescent="0.25">
      <c r="A117" s="1"/>
      <c r="B117" s="1"/>
      <c r="C117" s="1"/>
      <c r="D117" s="1"/>
      <c r="E117" s="1"/>
      <c r="F117" s="1"/>
      <c r="G117" s="1488" t="s">
        <v>2700</v>
      </c>
      <c r="H117" s="4" t="str">
        <f>'BID I'!B418</f>
        <v>Belanja perlengkapan barang konsumsi (makan/minum)- Belanja Barang Konsumsi</v>
      </c>
      <c r="I117" s="1"/>
      <c r="J117" s="1"/>
      <c r="K117" s="91">
        <f>'BID I'!F419</f>
        <v>6000000</v>
      </c>
      <c r="L117" s="1" t="s">
        <v>1845</v>
      </c>
    </row>
    <row r="118" spans="1:13" ht="30" x14ac:dyDescent="0.25">
      <c r="A118" s="1"/>
      <c r="B118" s="1"/>
      <c r="C118" s="1"/>
      <c r="D118" s="1"/>
      <c r="E118" s="1"/>
      <c r="F118" s="1"/>
      <c r="G118" s="1">
        <v>90</v>
      </c>
      <c r="H118" s="4" t="str">
        <f>'BID I'!B421</f>
        <v>Belanja Upakara, Upacara Dan Aci- Aci</v>
      </c>
      <c r="I118" s="1"/>
      <c r="J118" s="1"/>
      <c r="K118" s="91">
        <f>SUM('BID I'!F422:F425)</f>
        <v>680000</v>
      </c>
      <c r="L118" s="1" t="s">
        <v>1845</v>
      </c>
    </row>
    <row r="119" spans="1:13" ht="30" x14ac:dyDescent="0.25">
      <c r="A119" s="1027">
        <v>1</v>
      </c>
      <c r="B119" s="1027">
        <v>1</v>
      </c>
      <c r="C119" s="1491" t="s">
        <v>2700</v>
      </c>
      <c r="D119" s="1027"/>
      <c r="E119" s="1027"/>
      <c r="F119" s="1027"/>
      <c r="G119" s="1027"/>
      <c r="H119" s="1028" t="str">
        <f>'BID I'!B443</f>
        <v>: Penyediaan Operasional BPD (Rapat FKAKD)</v>
      </c>
      <c r="I119" s="1027"/>
      <c r="J119" s="1027"/>
      <c r="K119" s="1492">
        <f>SUM(K120:K124)</f>
        <v>6685000</v>
      </c>
      <c r="L119" s="1027"/>
      <c r="M119" s="36">
        <f>'BID I'!F464</f>
        <v>6685000</v>
      </c>
    </row>
    <row r="120" spans="1:13" x14ac:dyDescent="0.25">
      <c r="A120" s="1"/>
      <c r="B120" s="1"/>
      <c r="C120" s="1488"/>
      <c r="D120" s="1">
        <v>5</v>
      </c>
      <c r="E120" s="1">
        <v>2</v>
      </c>
      <c r="F120" s="1"/>
      <c r="G120" s="1"/>
      <c r="H120" s="4" t="str">
        <f>'BID I'!B449</f>
        <v>Belanja Barang Jasa</v>
      </c>
      <c r="I120" s="1"/>
      <c r="J120" s="1"/>
      <c r="K120" s="91"/>
      <c r="L120" s="1"/>
    </row>
    <row r="121" spans="1:13" ht="30" x14ac:dyDescent="0.25">
      <c r="A121" s="1"/>
      <c r="B121" s="1"/>
      <c r="C121" s="1"/>
      <c r="D121" s="1"/>
      <c r="E121" s="1"/>
      <c r="F121" s="1">
        <v>1</v>
      </c>
      <c r="G121" s="1"/>
      <c r="H121" s="4" t="str">
        <f>'BID I'!B450</f>
        <v>Belanja Barang Perlengkapan</v>
      </c>
      <c r="I121" s="1"/>
      <c r="J121" s="1"/>
      <c r="K121" s="91"/>
      <c r="L121" s="1"/>
    </row>
    <row r="122" spans="1:13" ht="60" x14ac:dyDescent="0.25">
      <c r="A122" s="1"/>
      <c r="B122" s="1"/>
      <c r="C122" s="1"/>
      <c r="D122" s="1"/>
      <c r="E122" s="1"/>
      <c r="F122" s="1"/>
      <c r="G122" s="1488" t="s">
        <v>2699</v>
      </c>
      <c r="H122" s="4" t="str">
        <f>'BID I'!B451</f>
        <v>Belanja perlengkapan cetak/pengadaan - belanja barang cetak dan pengadaan</v>
      </c>
      <c r="I122" s="1"/>
      <c r="J122" s="1"/>
      <c r="K122" s="91">
        <f>'BID I'!F452</f>
        <v>360000</v>
      </c>
      <c r="L122" s="1" t="s">
        <v>1845</v>
      </c>
    </row>
    <row r="123" spans="1:13" ht="60" x14ac:dyDescent="0.25">
      <c r="A123" s="1"/>
      <c r="B123" s="1"/>
      <c r="C123" s="1"/>
      <c r="D123" s="1"/>
      <c r="E123" s="1"/>
      <c r="F123" s="1"/>
      <c r="G123" s="1488" t="s">
        <v>2700</v>
      </c>
      <c r="H123" s="4" t="str">
        <f>'BID I'!B454</f>
        <v>Belanja perlengkapan barang konsumsi (makan/minum)- Belanja Barang Konsumsi</v>
      </c>
      <c r="I123" s="1"/>
      <c r="J123" s="1"/>
      <c r="K123" s="91">
        <f>'BID I'!F455</f>
        <v>6000000</v>
      </c>
      <c r="L123" s="1" t="s">
        <v>1845</v>
      </c>
    </row>
    <row r="124" spans="1:13" ht="30" x14ac:dyDescent="0.25">
      <c r="A124" s="1"/>
      <c r="B124" s="1"/>
      <c r="C124" s="1"/>
      <c r="D124" s="1"/>
      <c r="E124" s="1"/>
      <c r="F124" s="1"/>
      <c r="G124" s="1">
        <v>90</v>
      </c>
      <c r="H124" s="4" t="str">
        <f>'BID I'!B457</f>
        <v>Belanja Upakara, Upacara Dan Aci- Aci</v>
      </c>
      <c r="I124" s="1"/>
      <c r="J124" s="1"/>
      <c r="K124" s="91">
        <f>SUM('BID I'!F458:F461)</f>
        <v>325000</v>
      </c>
      <c r="L124" s="1" t="s">
        <v>1845</v>
      </c>
    </row>
    <row r="125" spans="1:13" ht="30" x14ac:dyDescent="0.25">
      <c r="A125" s="1027">
        <v>1</v>
      </c>
      <c r="B125" s="1027">
        <v>1</v>
      </c>
      <c r="C125" s="1027">
        <v>91</v>
      </c>
      <c r="D125" s="1027"/>
      <c r="E125" s="1027"/>
      <c r="F125" s="1027"/>
      <c r="G125" s="1027"/>
      <c r="H125" s="1028" t="str">
        <f>'BID I'!B478</f>
        <v xml:space="preserve">: Penyediaan Penghasilan Staf Desa </v>
      </c>
      <c r="I125" s="1027"/>
      <c r="J125" s="1027"/>
      <c r="K125" s="1492">
        <f>K128</f>
        <v>545773980</v>
      </c>
      <c r="L125" s="1027"/>
      <c r="M125" s="36">
        <f>'BID I'!F495</f>
        <v>545773980</v>
      </c>
    </row>
    <row r="126" spans="1:13" x14ac:dyDescent="0.25">
      <c r="A126" s="1"/>
      <c r="B126" s="1"/>
      <c r="C126" s="1"/>
      <c r="D126" s="1">
        <v>5</v>
      </c>
      <c r="E126" s="1">
        <v>2</v>
      </c>
      <c r="F126" s="1"/>
      <c r="G126" s="1"/>
      <c r="H126" s="4" t="str">
        <f>'BID I'!B484</f>
        <v>Belanja Barang Jasa</v>
      </c>
      <c r="I126" s="1"/>
      <c r="J126" s="1"/>
      <c r="K126" s="91"/>
      <c r="L126" s="1"/>
    </row>
    <row r="127" spans="1:13" x14ac:dyDescent="0.25">
      <c r="A127" s="1"/>
      <c r="B127" s="1"/>
      <c r="C127" s="1"/>
      <c r="D127" s="1"/>
      <c r="E127" s="1"/>
      <c r="F127" s="1">
        <v>2</v>
      </c>
      <c r="G127" s="1"/>
      <c r="H127" s="4" t="str">
        <f>'BID I'!B485</f>
        <v>Belanja Jasa Honorarium</v>
      </c>
      <c r="I127" s="1"/>
      <c r="J127" s="1"/>
      <c r="K127" s="91"/>
      <c r="L127" s="1"/>
    </row>
    <row r="128" spans="1:13" x14ac:dyDescent="0.25">
      <c r="A128" s="1"/>
      <c r="B128" s="1"/>
      <c r="C128" s="1"/>
      <c r="D128" s="1"/>
      <c r="E128" s="1"/>
      <c r="F128" s="1"/>
      <c r="G128" s="1">
        <v>91</v>
      </c>
      <c r="H128" s="4" t="str">
        <f>'BID I'!B486</f>
        <v>Belanja Pengasilan Staf</v>
      </c>
      <c r="I128" s="1"/>
      <c r="J128" s="1"/>
      <c r="K128" s="91">
        <f>SUM('BID I'!F487:F493)</f>
        <v>545773980</v>
      </c>
      <c r="L128" s="1" t="s">
        <v>1845</v>
      </c>
    </row>
    <row r="129" spans="1:13" ht="45" x14ac:dyDescent="0.25">
      <c r="A129" s="1027">
        <v>1</v>
      </c>
      <c r="B129" s="1027">
        <v>1</v>
      </c>
      <c r="C129" s="1027">
        <v>93</v>
      </c>
      <c r="D129" s="1027"/>
      <c r="E129" s="1027"/>
      <c r="F129" s="1027"/>
      <c r="G129" s="1027"/>
      <c r="H129" s="1028" t="str">
        <f>'BID I'!B510</f>
        <v>Penjaringan dan Penyaringan Perangkat Desa/Staf</v>
      </c>
      <c r="I129" s="1027"/>
      <c r="J129" s="1027"/>
      <c r="K129" s="1492">
        <f>SUM(K130:K137)</f>
        <v>11505000</v>
      </c>
      <c r="L129" s="1027"/>
      <c r="M129" s="36">
        <f>'BID I'!F538</f>
        <v>11505000</v>
      </c>
    </row>
    <row r="130" spans="1:13" x14ac:dyDescent="0.25">
      <c r="A130" s="1"/>
      <c r="B130" s="1"/>
      <c r="C130" s="1"/>
      <c r="D130" s="1">
        <v>5</v>
      </c>
      <c r="E130" s="1">
        <v>2</v>
      </c>
      <c r="F130" s="1"/>
      <c r="G130" s="1"/>
      <c r="H130" s="4" t="str">
        <f>'BID I'!B516</f>
        <v>Belanja Barang Jasa :</v>
      </c>
      <c r="I130" s="1"/>
      <c r="J130" s="1"/>
      <c r="K130" s="91"/>
      <c r="L130" s="1"/>
    </row>
    <row r="131" spans="1:13" ht="30" x14ac:dyDescent="0.25">
      <c r="A131" s="1"/>
      <c r="B131" s="1"/>
      <c r="C131" s="1"/>
      <c r="D131" s="1"/>
      <c r="E131" s="1"/>
      <c r="F131" s="1">
        <v>1</v>
      </c>
      <c r="G131" s="1"/>
      <c r="H131" s="4" t="str">
        <f>'BID I'!B517</f>
        <v>Belanja Barang Perlengkapan</v>
      </c>
      <c r="I131" s="1"/>
      <c r="J131" s="1"/>
      <c r="K131" s="91"/>
      <c r="L131" s="1"/>
    </row>
    <row r="132" spans="1:13" ht="30" x14ac:dyDescent="0.25">
      <c r="A132" s="1"/>
      <c r="B132" s="1"/>
      <c r="C132" s="1"/>
      <c r="D132" s="1"/>
      <c r="E132" s="1"/>
      <c r="F132" s="1"/>
      <c r="G132" s="1488" t="s">
        <v>2679</v>
      </c>
      <c r="H132" s="4" t="str">
        <f>'BID I'!B518</f>
        <v>Belanja alat tulis kantor dan benda pos</v>
      </c>
      <c r="I132" s="1"/>
      <c r="J132" s="1"/>
      <c r="K132" s="91">
        <f>SUM('BID I'!F519:F520)</f>
        <v>295000</v>
      </c>
      <c r="L132" s="4" t="s">
        <v>2570</v>
      </c>
    </row>
    <row r="133" spans="1:13" ht="60" x14ac:dyDescent="0.25">
      <c r="A133" s="1"/>
      <c r="B133" s="1"/>
      <c r="C133" s="1"/>
      <c r="D133" s="1"/>
      <c r="E133" s="1"/>
      <c r="F133" s="1"/>
      <c r="G133" s="1488" t="s">
        <v>2700</v>
      </c>
      <c r="H133" s="4" t="str">
        <f>'BID I'!B521</f>
        <v>Belanja perlengkapan barang konsumsi (makan/minum)- Belanja Barang Konsumsi</v>
      </c>
      <c r="I133" s="1"/>
      <c r="J133" s="1"/>
      <c r="K133" s="91">
        <f>'BID I'!F522+'BID I'!F523+'BID I'!F524</f>
        <v>6450000</v>
      </c>
      <c r="L133" s="4" t="s">
        <v>2570</v>
      </c>
    </row>
    <row r="134" spans="1:13" ht="30" x14ac:dyDescent="0.25">
      <c r="A134" s="1"/>
      <c r="B134" s="1"/>
      <c r="C134" s="1"/>
      <c r="D134" s="1"/>
      <c r="E134" s="1"/>
      <c r="F134" s="1"/>
      <c r="G134" s="1488" t="s">
        <v>2702</v>
      </c>
      <c r="H134" s="4" t="str">
        <f>'BID I'!B526</f>
        <v>Belanja Bendera/Umbul - umbul/Spanduk</v>
      </c>
      <c r="I134" s="1"/>
      <c r="J134" s="1"/>
      <c r="K134" s="91">
        <f>'BID I'!F527</f>
        <v>360000</v>
      </c>
      <c r="L134" s="4" t="s">
        <v>2570</v>
      </c>
    </row>
    <row r="135" spans="1:13" x14ac:dyDescent="0.25">
      <c r="A135" s="1"/>
      <c r="B135" s="1"/>
      <c r="C135" s="1"/>
      <c r="D135" s="1">
        <v>5</v>
      </c>
      <c r="E135" s="1">
        <v>2</v>
      </c>
      <c r="F135" s="1">
        <v>2</v>
      </c>
      <c r="G135" s="1"/>
      <c r="H135" s="4" t="str">
        <f>'BID I'!B529</f>
        <v>Belanja Jasa Honorarium</v>
      </c>
      <c r="I135" s="1"/>
      <c r="J135" s="1"/>
      <c r="K135" s="91"/>
      <c r="L135" s="1"/>
    </row>
    <row r="136" spans="1:13" ht="45" x14ac:dyDescent="0.25">
      <c r="A136" s="1"/>
      <c r="B136" s="1"/>
      <c r="C136" s="1"/>
      <c r="D136" s="1"/>
      <c r="E136" s="1"/>
      <c r="F136" s="1"/>
      <c r="G136" s="1488" t="s">
        <v>2679</v>
      </c>
      <c r="H136" s="4" t="str">
        <f>'BID I'!B530</f>
        <v>Belanja Jasa Honor Tim yang Melaksanakan Kegiatan</v>
      </c>
      <c r="I136" s="1"/>
      <c r="J136" s="1"/>
      <c r="K136" s="91">
        <f>SUM('BID I'!F531:F533)</f>
        <v>2600000</v>
      </c>
      <c r="L136" s="4" t="s">
        <v>2570</v>
      </c>
    </row>
    <row r="137" spans="1:13" ht="30" x14ac:dyDescent="0.25">
      <c r="A137" s="1"/>
      <c r="B137" s="1"/>
      <c r="C137" s="1"/>
      <c r="D137" s="1"/>
      <c r="E137" s="1"/>
      <c r="F137" s="1"/>
      <c r="G137" s="1488" t="s">
        <v>2699</v>
      </c>
      <c r="H137" s="1" t="str">
        <f>'BID I'!B534</f>
        <v>Belanja Jasa Honorarium</v>
      </c>
      <c r="I137" s="1"/>
      <c r="J137" s="1"/>
      <c r="K137" s="91">
        <f>'BID I'!F535</f>
        <v>1800000</v>
      </c>
      <c r="L137" s="4" t="s">
        <v>2570</v>
      </c>
    </row>
    <row r="138" spans="1:13" ht="45" x14ac:dyDescent="0.25">
      <c r="A138" s="1027">
        <v>1</v>
      </c>
      <c r="B138" s="1027">
        <v>1</v>
      </c>
      <c r="C138" s="1027">
        <v>93</v>
      </c>
      <c r="D138" s="1027"/>
      <c r="E138" s="1027"/>
      <c r="F138" s="1027"/>
      <c r="G138" s="1027"/>
      <c r="H138" s="1028" t="str">
        <f>'BID I'!B552</f>
        <v>Penyedian Jaminan Keshatan dan ketenagakerjaan BPD</v>
      </c>
      <c r="I138" s="1027"/>
      <c r="J138" s="1027"/>
      <c r="K138" s="1492">
        <f>SUM(K139:K142)</f>
        <v>40181760</v>
      </c>
      <c r="L138" s="1027" t="s">
        <v>1845</v>
      </c>
      <c r="M138" s="36">
        <f>'BID I'!F570</f>
        <v>40181760</v>
      </c>
    </row>
    <row r="139" spans="1:13" x14ac:dyDescent="0.25">
      <c r="A139" s="1"/>
      <c r="B139" s="1"/>
      <c r="C139" s="1"/>
      <c r="D139" s="1">
        <v>5</v>
      </c>
      <c r="E139" s="1">
        <v>1</v>
      </c>
      <c r="F139" s="1"/>
      <c r="G139" s="1"/>
      <c r="H139" s="4" t="str">
        <f>'BID I'!B558</f>
        <v>Belanja Pegawai</v>
      </c>
      <c r="I139" s="1"/>
      <c r="J139" s="1"/>
      <c r="K139" s="91"/>
      <c r="L139" s="1"/>
    </row>
    <row r="140" spans="1:13" ht="45" x14ac:dyDescent="0.25">
      <c r="A140" s="1"/>
      <c r="B140" s="1"/>
      <c r="C140" s="1"/>
      <c r="D140" s="1"/>
      <c r="E140" s="1"/>
      <c r="F140" s="1">
        <v>1</v>
      </c>
      <c r="G140" s="1"/>
      <c r="H140" s="4" t="str">
        <f>'BID I'!B559</f>
        <v>Belanja Jaminan Sosial Perbekel dan Perangkat Desa</v>
      </c>
      <c r="I140" s="1"/>
      <c r="J140" s="1"/>
      <c r="K140" s="91"/>
      <c r="L140" s="1"/>
    </row>
    <row r="141" spans="1:13" x14ac:dyDescent="0.25">
      <c r="A141" s="1"/>
      <c r="B141" s="1"/>
      <c r="C141" s="1"/>
      <c r="D141" s="1"/>
      <c r="E141" s="1"/>
      <c r="F141" s="1"/>
      <c r="G141" s="1488" t="s">
        <v>2694</v>
      </c>
      <c r="H141" s="4" t="str">
        <f>'BID I'!B560</f>
        <v>Jaminan Kesehatan BPD</v>
      </c>
      <c r="I141" s="1"/>
      <c r="J141" s="1"/>
      <c r="K141" s="91">
        <f>SUM('BID I'!F561:F564)</f>
        <v>15696000</v>
      </c>
      <c r="L141" s="1" t="s">
        <v>1845</v>
      </c>
    </row>
    <row r="142" spans="1:13" ht="30" x14ac:dyDescent="0.25">
      <c r="A142" s="1"/>
      <c r="B142" s="1"/>
      <c r="C142" s="1"/>
      <c r="D142" s="1"/>
      <c r="E142" s="1"/>
      <c r="F142" s="1"/>
      <c r="G142" s="1488" t="s">
        <v>2697</v>
      </c>
      <c r="H142" s="4" t="str">
        <f>'BID I'!B565</f>
        <v>Jaminan Ketenagakerjaan BPD</v>
      </c>
      <c r="I142" s="1"/>
      <c r="J142" s="1"/>
      <c r="K142" s="91">
        <f>SUM('BID I'!F566:F569)</f>
        <v>24485760</v>
      </c>
      <c r="L142" s="1" t="s">
        <v>1845</v>
      </c>
    </row>
    <row r="143" spans="1:13" ht="60" x14ac:dyDescent="0.25">
      <c r="A143" s="1027">
        <v>1</v>
      </c>
      <c r="B143" s="1027">
        <v>1</v>
      </c>
      <c r="C143" s="1027">
        <v>93</v>
      </c>
      <c r="D143" s="1027"/>
      <c r="E143" s="1027"/>
      <c r="F143" s="1027"/>
      <c r="G143" s="1027"/>
      <c r="H143" s="1028" t="str">
        <f>'BID I'!B584</f>
        <v>Penyedian Jaminan Keshatan dan ketenagakerjaan Staf Desa</v>
      </c>
      <c r="I143" s="1027"/>
      <c r="J143" s="1027"/>
      <c r="K143" s="1492">
        <f>SUM(K144:K147)</f>
        <v>27063220.440000005</v>
      </c>
      <c r="L143" s="1027"/>
      <c r="M143" s="36">
        <f>'BID I'!F606</f>
        <v>27063220.440000009</v>
      </c>
    </row>
    <row r="144" spans="1:13" x14ac:dyDescent="0.25">
      <c r="A144" s="1"/>
      <c r="B144" s="1"/>
      <c r="C144" s="1"/>
      <c r="D144" s="1">
        <v>5</v>
      </c>
      <c r="E144" s="1">
        <v>1</v>
      </c>
      <c r="F144" s="1"/>
      <c r="G144" s="1"/>
      <c r="H144" s="4" t="str">
        <f>'BID I'!B590</f>
        <v>Belanja Pegawai</v>
      </c>
      <c r="I144" s="1"/>
      <c r="J144" s="1"/>
      <c r="K144" s="91"/>
      <c r="L144" s="1"/>
    </row>
    <row r="145" spans="1:13" ht="45" x14ac:dyDescent="0.25">
      <c r="A145" s="1"/>
      <c r="B145" s="1"/>
      <c r="C145" s="1"/>
      <c r="D145" s="1"/>
      <c r="E145" s="1"/>
      <c r="F145" s="1">
        <v>3</v>
      </c>
      <c r="G145" s="1"/>
      <c r="H145" s="4" t="str">
        <f>'BID I'!B591</f>
        <v>Belanja Jaminan Sosial Perbekel dan Perangkat Desa</v>
      </c>
      <c r="I145" s="1"/>
      <c r="J145" s="1"/>
      <c r="K145" s="91"/>
      <c r="L145" s="1"/>
    </row>
    <row r="146" spans="1:13" x14ac:dyDescent="0.25">
      <c r="A146" s="1"/>
      <c r="B146" s="1"/>
      <c r="C146" s="1"/>
      <c r="D146" s="1"/>
      <c r="E146" s="1"/>
      <c r="F146" s="1"/>
      <c r="G146" s="1488" t="s">
        <v>2679</v>
      </c>
      <c r="H146" s="4" t="str">
        <f>'BID I'!B592</f>
        <v>Jaminan Kesehatan Staf</v>
      </c>
      <c r="I146" s="1"/>
      <c r="J146" s="1"/>
      <c r="K146" s="91">
        <f>SUM('BID I'!F593:F598)</f>
        <v>23844246.960000005</v>
      </c>
      <c r="L146" s="1" t="s">
        <v>1845</v>
      </c>
    </row>
    <row r="147" spans="1:13" ht="30" x14ac:dyDescent="0.25">
      <c r="A147" s="1"/>
      <c r="B147" s="1"/>
      <c r="C147" s="1"/>
      <c r="D147" s="1"/>
      <c r="E147" s="1"/>
      <c r="F147" s="1"/>
      <c r="G147" s="1488" t="s">
        <v>2694</v>
      </c>
      <c r="H147" s="4" t="str">
        <f>'BID I'!B599</f>
        <v>Jaminan Ketenagakerjaan Staf</v>
      </c>
      <c r="I147" s="1"/>
      <c r="J147" s="1"/>
      <c r="K147" s="91">
        <f>SUM('BID I'!F600:F605)</f>
        <v>3218973.48</v>
      </c>
      <c r="L147" s="1" t="s">
        <v>1845</v>
      </c>
    </row>
    <row r="148" spans="1:13" ht="30" x14ac:dyDescent="0.25">
      <c r="A148" s="1027">
        <v>1</v>
      </c>
      <c r="B148" s="1027">
        <v>1</v>
      </c>
      <c r="C148" s="1027">
        <v>94</v>
      </c>
      <c r="D148" s="1027"/>
      <c r="E148" s="1027"/>
      <c r="F148" s="1027"/>
      <c r="G148" s="1027"/>
      <c r="H148" s="1028" t="str">
        <f>'BID I'!B658</f>
        <v>: Penyediaan Kegiatan Sosial Desa</v>
      </c>
      <c r="I148" s="1027"/>
      <c r="J148" s="1027"/>
      <c r="K148" s="1492">
        <f>K151</f>
        <v>39032000</v>
      </c>
      <c r="L148" s="1027"/>
      <c r="M148" s="32">
        <f>'BID I'!F675</f>
        <v>39032000</v>
      </c>
    </row>
    <row r="149" spans="1:13" x14ac:dyDescent="0.25">
      <c r="A149" s="1"/>
      <c r="B149" s="1"/>
      <c r="C149" s="1"/>
      <c r="D149" s="1">
        <v>5</v>
      </c>
      <c r="E149" s="1">
        <v>2</v>
      </c>
      <c r="F149" s="1"/>
      <c r="G149" s="1"/>
      <c r="H149" s="4" t="str">
        <f>'BID I'!B664</f>
        <v>Belanja Barang Jasa</v>
      </c>
      <c r="I149" s="1"/>
      <c r="J149" s="1"/>
      <c r="K149" s="91"/>
      <c r="L149" s="1"/>
    </row>
    <row r="150" spans="1:13" ht="45" x14ac:dyDescent="0.25">
      <c r="A150" s="1"/>
      <c r="B150" s="1"/>
      <c r="C150" s="1"/>
      <c r="D150" s="1"/>
      <c r="E150" s="1"/>
      <c r="F150" s="1">
        <v>7</v>
      </c>
      <c r="G150" s="1"/>
      <c r="H150" s="4" t="str">
        <f>'BID I'!B665</f>
        <v>Belanja Barang dan Jasa yang Diserahkan Kepada Masyarakat</v>
      </c>
      <c r="I150" s="1"/>
      <c r="J150" s="1"/>
      <c r="K150" s="91"/>
      <c r="L150" s="1"/>
    </row>
    <row r="151" spans="1:13" ht="45" x14ac:dyDescent="0.25">
      <c r="A151" s="1"/>
      <c r="B151" s="1"/>
      <c r="C151" s="1"/>
      <c r="D151" s="1"/>
      <c r="E151" s="1"/>
      <c r="F151" s="1"/>
      <c r="G151" s="1488" t="s">
        <v>2679</v>
      </c>
      <c r="H151" s="4" t="str">
        <f>'BID I'!B666</f>
        <v>Belanja Bahan Perlengkapan yang Diserahkan ke masyarakat</v>
      </c>
      <c r="I151" s="1"/>
      <c r="J151" s="1"/>
      <c r="K151" s="91">
        <f>SUM('BID I'!F667:F673)</f>
        <v>39032000</v>
      </c>
      <c r="L151" s="1" t="s">
        <v>1417</v>
      </c>
    </row>
    <row r="152" spans="1:13" ht="29.25" customHeight="1" x14ac:dyDescent="0.25">
      <c r="A152" s="1028">
        <v>1</v>
      </c>
      <c r="B152" s="1028">
        <v>1</v>
      </c>
      <c r="C152" s="1028">
        <v>96</v>
      </c>
      <c r="D152" s="1028"/>
      <c r="E152" s="1028"/>
      <c r="F152" s="1028"/>
      <c r="G152" s="1028"/>
      <c r="H152" s="1028" t="str">
        <f>'BID I'!B716</f>
        <v>: Tambahan  Penghasilan Perbekel dari BKK</v>
      </c>
      <c r="I152" s="1028"/>
      <c r="J152" s="1028"/>
      <c r="K152" s="1494">
        <f>K155</f>
        <v>18000000</v>
      </c>
      <c r="L152" s="1028"/>
      <c r="M152" s="36">
        <f>'BID I'!F727</f>
        <v>18000000</v>
      </c>
    </row>
    <row r="153" spans="1:13" x14ac:dyDescent="0.25">
      <c r="A153" s="1"/>
      <c r="B153" s="1"/>
      <c r="C153" s="1"/>
      <c r="D153" s="1">
        <v>5</v>
      </c>
      <c r="E153" s="1">
        <v>1</v>
      </c>
      <c r="F153" s="1"/>
      <c r="G153" s="1"/>
      <c r="H153" s="4" t="str">
        <f>'BID I'!B722</f>
        <v xml:space="preserve">Belanja Pegawai </v>
      </c>
      <c r="I153" s="1"/>
      <c r="J153" s="1"/>
      <c r="K153" s="91"/>
      <c r="L153" s="1"/>
    </row>
    <row r="154" spans="1:13" ht="30" x14ac:dyDescent="0.25">
      <c r="A154" s="1"/>
      <c r="B154" s="1"/>
      <c r="C154" s="1"/>
      <c r="D154" s="1"/>
      <c r="E154" s="1"/>
      <c r="F154" s="1">
        <v>1</v>
      </c>
      <c r="G154" s="1"/>
      <c r="H154" s="4" t="str">
        <f>'BID I'!B723</f>
        <v>Penghasilan tetap dan Tunjangan Perbekel</v>
      </c>
      <c r="I154" s="1"/>
      <c r="J154" s="1"/>
      <c r="K154" s="91"/>
      <c r="L154" s="1"/>
    </row>
    <row r="155" spans="1:13" ht="30" x14ac:dyDescent="0.25">
      <c r="A155" s="1"/>
      <c r="B155" s="1"/>
      <c r="C155" s="1"/>
      <c r="D155" s="1"/>
      <c r="E155" s="1"/>
      <c r="F155" s="1"/>
      <c r="G155" s="1488" t="s">
        <v>2679</v>
      </c>
      <c r="H155" s="4" t="str">
        <f>'BID I'!B724</f>
        <v>Penghasilan Tetap Perbekel</v>
      </c>
      <c r="I155" s="1"/>
      <c r="J155" s="1"/>
      <c r="K155" s="91">
        <f>SUM('BID I'!F724)</f>
        <v>18000000</v>
      </c>
      <c r="L155" s="4" t="s">
        <v>2591</v>
      </c>
    </row>
    <row r="156" spans="1:13" ht="30" x14ac:dyDescent="0.25">
      <c r="A156" s="1027">
        <v>1</v>
      </c>
      <c r="B156" s="1027">
        <v>1</v>
      </c>
      <c r="C156" s="1027">
        <v>96</v>
      </c>
      <c r="D156" s="1027"/>
      <c r="E156" s="1027"/>
      <c r="F156" s="1027"/>
      <c r="G156" s="1027"/>
      <c r="H156" s="1028" t="str">
        <f>'BID I'!B741</f>
        <v>: Tambahan  Penghasilan Perangkat Desa dari BKK</v>
      </c>
      <c r="I156" s="1027"/>
      <c r="J156" s="1027"/>
      <c r="K156" s="1492">
        <f>K159</f>
        <v>56400000</v>
      </c>
      <c r="L156" s="1027"/>
      <c r="M156" s="36">
        <f>'BID I'!F757</f>
        <v>56400000</v>
      </c>
    </row>
    <row r="157" spans="1:13" x14ac:dyDescent="0.25">
      <c r="A157" s="1"/>
      <c r="B157" s="1"/>
      <c r="C157" s="1"/>
      <c r="D157" s="1">
        <v>5</v>
      </c>
      <c r="E157" s="1">
        <v>1</v>
      </c>
      <c r="F157" s="1"/>
      <c r="G157" s="1"/>
      <c r="H157" s="1" t="str">
        <f>'BID I'!B747</f>
        <v xml:space="preserve">Belanja Pegawai </v>
      </c>
      <c r="I157" s="1"/>
      <c r="J157" s="1"/>
      <c r="K157" s="91"/>
      <c r="L157" s="1"/>
    </row>
    <row r="158" spans="1:13" ht="30" x14ac:dyDescent="0.25">
      <c r="A158" s="1"/>
      <c r="B158" s="1"/>
      <c r="C158" s="1"/>
      <c r="D158" s="1"/>
      <c r="E158" s="1"/>
      <c r="F158" s="1">
        <v>1</v>
      </c>
      <c r="G158" s="1"/>
      <c r="H158" s="4" t="str">
        <f>'BID I'!B748</f>
        <v>Penghasilan tetap dan Tunjangan Perangkat</v>
      </c>
      <c r="I158" s="1"/>
      <c r="J158" s="1"/>
      <c r="K158" s="91"/>
      <c r="L158" s="1"/>
    </row>
    <row r="159" spans="1:13" ht="30" x14ac:dyDescent="0.25">
      <c r="A159" s="1"/>
      <c r="B159" s="1"/>
      <c r="C159" s="1"/>
      <c r="D159" s="1"/>
      <c r="E159" s="1"/>
      <c r="F159" s="1"/>
      <c r="G159" s="1488" t="s">
        <v>2679</v>
      </c>
      <c r="H159" s="4" t="str">
        <f>'BID I'!B749</f>
        <v>Penghasilan tetap dan Tunjangan Perangkat</v>
      </c>
      <c r="I159" s="1"/>
      <c r="J159" s="1"/>
      <c r="K159" s="91">
        <f>SUM('BID I'!F750:F753)</f>
        <v>56400000</v>
      </c>
      <c r="L159" s="4" t="s">
        <v>2591</v>
      </c>
    </row>
    <row r="160" spans="1:13" ht="30" x14ac:dyDescent="0.25">
      <c r="A160" s="1027">
        <v>1</v>
      </c>
      <c r="B160" s="1027">
        <v>2</v>
      </c>
      <c r="C160" s="1027"/>
      <c r="D160" s="1027"/>
      <c r="E160" s="1027"/>
      <c r="F160" s="1027"/>
      <c r="G160" s="1027"/>
      <c r="H160" s="1028" t="str">
        <f>'BID I'!B771</f>
        <v>: Sarana dan Prasarana Pemerintah Desa</v>
      </c>
      <c r="I160" s="1027"/>
      <c r="J160" s="1027"/>
      <c r="K160" s="1492"/>
      <c r="L160" s="1027"/>
    </row>
    <row r="161" spans="1:13" ht="30" x14ac:dyDescent="0.25">
      <c r="A161" s="1027">
        <v>1</v>
      </c>
      <c r="B161" s="1027">
        <v>2</v>
      </c>
      <c r="C161" s="1491" t="s">
        <v>2679</v>
      </c>
      <c r="D161" s="1027"/>
      <c r="E161" s="1027"/>
      <c r="F161" s="1027"/>
      <c r="G161" s="1027"/>
      <c r="H161" s="1028" t="str">
        <f>'BID I'!B772</f>
        <v>: Penyediaan Aset Tetap (Prasarana Kantor Desa)</v>
      </c>
      <c r="I161" s="1027"/>
      <c r="J161" s="1027"/>
      <c r="K161" s="1492" t="e">
        <f>SUM(K162:K170)</f>
        <v>#REF!</v>
      </c>
      <c r="L161" s="1027"/>
      <c r="M161" s="32">
        <f>'BID I'!F801</f>
        <v>135982100.75</v>
      </c>
    </row>
    <row r="162" spans="1:13" x14ac:dyDescent="0.25">
      <c r="A162" s="1"/>
      <c r="B162" s="1"/>
      <c r="C162" s="1"/>
      <c r="D162" s="1">
        <v>5</v>
      </c>
      <c r="E162" s="1">
        <v>2</v>
      </c>
      <c r="F162" s="1"/>
      <c r="G162" s="1"/>
      <c r="H162" s="4" t="str">
        <f>'BID I'!B777</f>
        <v>Belanja Modal</v>
      </c>
      <c r="I162" s="1"/>
      <c r="J162" s="1"/>
      <c r="K162" s="91"/>
      <c r="L162" s="1"/>
    </row>
    <row r="163" spans="1:13" ht="30" x14ac:dyDescent="0.25">
      <c r="A163" s="1"/>
      <c r="B163" s="1"/>
      <c r="C163" s="1"/>
      <c r="D163" s="1"/>
      <c r="E163" s="1"/>
      <c r="F163" s="1">
        <v>1</v>
      </c>
      <c r="G163" s="1"/>
      <c r="H163" s="4" t="str">
        <f>'BID I'!B778</f>
        <v>Belanja Modal Peralatan, Mesin, dan Alat Berat</v>
      </c>
      <c r="I163" s="1"/>
      <c r="J163" s="1"/>
      <c r="K163" s="91"/>
      <c r="L163" s="1"/>
    </row>
    <row r="164" spans="1:13" ht="45" x14ac:dyDescent="0.25">
      <c r="A164" s="1"/>
      <c r="B164" s="1"/>
      <c r="C164" s="1"/>
      <c r="D164" s="1"/>
      <c r="E164" s="1"/>
      <c r="F164" s="1"/>
      <c r="G164" s="1488" t="s">
        <v>2679</v>
      </c>
      <c r="H164" s="4" t="str">
        <f>'BID I'!B779</f>
        <v>Belanja modal honor tim yang melaksanakan kegiatan</v>
      </c>
      <c r="I164" s="1"/>
      <c r="J164" s="1"/>
      <c r="K164" s="91">
        <f>SUM('BID I'!F780:F782)</f>
        <v>1150000</v>
      </c>
      <c r="L164" s="1" t="s">
        <v>1845</v>
      </c>
    </row>
    <row r="165" spans="1:13" ht="45" x14ac:dyDescent="0.25">
      <c r="A165" s="1"/>
      <c r="B165" s="1"/>
      <c r="C165" s="1"/>
      <c r="D165" s="1"/>
      <c r="E165" s="1"/>
      <c r="F165" s="1"/>
      <c r="G165" s="1488" t="s">
        <v>2694</v>
      </c>
      <c r="H165" s="4" t="str">
        <f>'BID I'!B785</f>
        <v>Belanja Modal Peralatan elektronik dan Alat Studio</v>
      </c>
      <c r="I165" s="1"/>
      <c r="J165" s="1"/>
      <c r="K165" s="91">
        <f>'BID I'!F787+'BID I'!F788+'BID I'!F789+'BID I'!F793</f>
        <v>30468000</v>
      </c>
      <c r="L165" s="1" t="s">
        <v>1417</v>
      </c>
    </row>
    <row r="166" spans="1:13" ht="45" x14ac:dyDescent="0.25">
      <c r="A166" s="1"/>
      <c r="B166" s="1"/>
      <c r="C166" s="1"/>
      <c r="D166" s="1"/>
      <c r="E166" s="1"/>
      <c r="F166" s="1"/>
      <c r="G166" s="1488" t="s">
        <v>2694</v>
      </c>
      <c r="H166" s="4" t="str">
        <f>'BID I'!B785</f>
        <v>Belanja Modal Peralatan elektronik dan Alat Studio</v>
      </c>
      <c r="I166" s="1"/>
      <c r="J166" s="1"/>
      <c r="K166" s="91" t="e">
        <f>'BID I'!#REF!</f>
        <v>#REF!</v>
      </c>
      <c r="L166" s="4" t="s">
        <v>2570</v>
      </c>
    </row>
    <row r="167" spans="1:13" ht="45" x14ac:dyDescent="0.25">
      <c r="A167" s="1"/>
      <c r="B167" s="1"/>
      <c r="C167" s="1"/>
      <c r="D167" s="1"/>
      <c r="E167" s="1"/>
      <c r="F167" s="1"/>
      <c r="G167" s="1488" t="s">
        <v>2694</v>
      </c>
      <c r="H167" s="4" t="str">
        <f>'BID I'!B785</f>
        <v>Belanja Modal Peralatan elektronik dan Alat Studio</v>
      </c>
      <c r="I167" s="1"/>
      <c r="J167" s="1"/>
      <c r="K167" s="91">
        <f>'BID I'!F791</f>
        <v>25000000</v>
      </c>
      <c r="L167" s="4" t="s">
        <v>2568</v>
      </c>
    </row>
    <row r="168" spans="1:13" ht="45" x14ac:dyDescent="0.25">
      <c r="A168" s="1"/>
      <c r="B168" s="1"/>
      <c r="C168" s="1"/>
      <c r="D168" s="1"/>
      <c r="E168" s="1"/>
      <c r="F168" s="1"/>
      <c r="G168" s="1488" t="s">
        <v>2694</v>
      </c>
      <c r="H168" s="4" t="str">
        <f>'BID I'!B785</f>
        <v>Belanja Modal Peralatan elektronik dan Alat Studio</v>
      </c>
      <c r="I168" s="1"/>
      <c r="J168" s="1"/>
      <c r="K168" s="91">
        <f>'BID I'!F792</f>
        <v>36000000</v>
      </c>
      <c r="L168" s="4" t="s">
        <v>2571</v>
      </c>
    </row>
    <row r="169" spans="1:13" ht="45" x14ac:dyDescent="0.25">
      <c r="A169" s="1"/>
      <c r="B169" s="1"/>
      <c r="C169" s="1"/>
      <c r="D169" s="1"/>
      <c r="E169" s="1"/>
      <c r="F169" s="1"/>
      <c r="G169" s="1488" t="s">
        <v>2694</v>
      </c>
      <c r="H169" s="4" t="str">
        <f>'BID I'!B785</f>
        <v>Belanja Modal Peralatan elektronik dan Alat Studio</v>
      </c>
      <c r="I169" s="1"/>
      <c r="J169" s="1"/>
      <c r="K169" s="91">
        <f>'BID I'!F794</f>
        <v>10000000</v>
      </c>
      <c r="L169" s="4" t="s">
        <v>2574</v>
      </c>
    </row>
    <row r="170" spans="1:13" ht="45" x14ac:dyDescent="0.25">
      <c r="A170" s="1"/>
      <c r="B170" s="1"/>
      <c r="C170" s="1"/>
      <c r="D170" s="1"/>
      <c r="E170" s="1"/>
      <c r="F170" s="1"/>
      <c r="G170" s="1488" t="s">
        <v>2697</v>
      </c>
      <c r="H170" s="4" t="str">
        <f>'BID I'!B795</f>
        <v>Belanja Modal Peralatan mebeulair dan Aksesori ruangan</v>
      </c>
      <c r="I170" s="1"/>
      <c r="J170" s="1"/>
      <c r="K170" s="91">
        <f>SUM('BID I'!F796:F798)</f>
        <v>21315000</v>
      </c>
      <c r="L170" s="1" t="s">
        <v>1417</v>
      </c>
    </row>
    <row r="171" spans="1:13" ht="75" x14ac:dyDescent="0.25">
      <c r="A171" s="1027">
        <v>1</v>
      </c>
      <c r="B171" s="1027">
        <v>2</v>
      </c>
      <c r="C171" s="1491" t="s">
        <v>2694</v>
      </c>
      <c r="D171" s="1027"/>
      <c r="E171" s="1027"/>
      <c r="F171" s="1027"/>
      <c r="G171" s="1027"/>
      <c r="H171" s="1028" t="str">
        <f>'BID I'!B855</f>
        <v>Pemeliharaan/ Rehabilitasi/ Peningkatan Gedung/ Prasarana Kantor Desa (Perbaikan Plafont Toilet Latai 1)</v>
      </c>
      <c r="I171" s="1027"/>
      <c r="J171" s="1027"/>
      <c r="K171" s="1492">
        <f>SUM(K172:K176)</f>
        <v>2619000</v>
      </c>
      <c r="L171" s="1027"/>
      <c r="M171" s="32">
        <f>'BID I'!F879</f>
        <v>2619000</v>
      </c>
    </row>
    <row r="172" spans="1:13" x14ac:dyDescent="0.25">
      <c r="A172" s="1"/>
      <c r="B172" s="1"/>
      <c r="C172" s="1"/>
      <c r="D172" s="1">
        <v>5</v>
      </c>
      <c r="E172" s="1">
        <v>3</v>
      </c>
      <c r="F172" s="1"/>
      <c r="G172" s="1"/>
      <c r="H172" s="4" t="str">
        <f>'BID I'!B862</f>
        <v>Belanja Modal</v>
      </c>
      <c r="I172" s="1"/>
      <c r="J172" s="1"/>
      <c r="K172" s="91"/>
      <c r="L172" s="1"/>
    </row>
    <row r="173" spans="1:13" ht="30" x14ac:dyDescent="0.25">
      <c r="A173" s="1"/>
      <c r="B173" s="1"/>
      <c r="C173" s="1"/>
      <c r="D173" s="1"/>
      <c r="E173" s="1"/>
      <c r="F173" s="1">
        <v>4</v>
      </c>
      <c r="G173" s="1"/>
      <c r="H173" s="4" t="str">
        <f>'BID I'!B863</f>
        <v>Belanja modal Gedung, Bangunan, Tanaman</v>
      </c>
      <c r="I173" s="1"/>
      <c r="J173" s="1"/>
      <c r="K173" s="91"/>
      <c r="L173" s="1"/>
    </row>
    <row r="174" spans="1:13" ht="45" x14ac:dyDescent="0.25">
      <c r="A174" s="1"/>
      <c r="B174" s="1"/>
      <c r="C174" s="1"/>
      <c r="D174" s="1"/>
      <c r="E174" s="1"/>
      <c r="F174" s="1"/>
      <c r="G174" s="1488" t="s">
        <v>2679</v>
      </c>
      <c r="H174" s="4" t="str">
        <f>'BID I'!B864</f>
        <v>Belanja modal oprasional tim yang melaksanakan kegiatan</v>
      </c>
      <c r="I174" s="1"/>
      <c r="J174" s="1"/>
      <c r="K174" s="91">
        <f>'BID I'!F866</f>
        <v>104000</v>
      </c>
      <c r="L174" s="4" t="s">
        <v>2570</v>
      </c>
    </row>
    <row r="175" spans="1:13" ht="30" x14ac:dyDescent="0.25">
      <c r="A175" s="1"/>
      <c r="B175" s="1"/>
      <c r="C175" s="1"/>
      <c r="D175" s="1"/>
      <c r="E175" s="1"/>
      <c r="F175" s="1"/>
      <c r="G175" s="1488" t="s">
        <v>2694</v>
      </c>
      <c r="H175" s="4" t="str">
        <f>'BID I'!B867</f>
        <v>Belanja modal upah tenaga kerja</v>
      </c>
      <c r="I175" s="1"/>
      <c r="J175" s="1"/>
      <c r="K175" s="91">
        <f>'BID I'!F871</f>
        <v>820000</v>
      </c>
      <c r="L175" s="4" t="s">
        <v>2570</v>
      </c>
    </row>
    <row r="176" spans="1:13" ht="30" x14ac:dyDescent="0.25">
      <c r="A176" s="1"/>
      <c r="B176" s="1"/>
      <c r="C176" s="1"/>
      <c r="D176" s="1"/>
      <c r="E176" s="1"/>
      <c r="F176" s="1"/>
      <c r="G176" s="1488" t="s">
        <v>2696</v>
      </c>
      <c r="H176" s="1" t="str">
        <f>'BID I'!B872</f>
        <v>Belanja modal bahan baku</v>
      </c>
      <c r="I176" s="1"/>
      <c r="J176" s="1"/>
      <c r="K176" s="91">
        <f>'BID I'!F873</f>
        <v>1695000</v>
      </c>
      <c r="L176" s="4" t="s">
        <v>2570</v>
      </c>
    </row>
    <row r="177" spans="1:13" ht="90" x14ac:dyDescent="0.25">
      <c r="A177" s="1027">
        <v>1</v>
      </c>
      <c r="B177" s="1027">
        <v>2</v>
      </c>
      <c r="C177" s="1491" t="s">
        <v>2694</v>
      </c>
      <c r="D177" s="1027"/>
      <c r="E177" s="1027"/>
      <c r="F177" s="1027"/>
      <c r="G177" s="1027"/>
      <c r="H177" s="1028" t="str">
        <f>'BID I'!B892</f>
        <v>Pemeliharaan/ Rehabilitasi/ Peningkatan Gedung/ Prasarana Kantor Desa (Perbaikan Plafont kamar mandi Lantai 2)</v>
      </c>
      <c r="I177" s="1027"/>
      <c r="J177" s="1027"/>
      <c r="K177" s="1492">
        <f>SUM(K179:K182)</f>
        <v>5304000</v>
      </c>
      <c r="L177" s="1027"/>
      <c r="M177" s="32">
        <f>'BID I'!F916</f>
        <v>5304000</v>
      </c>
    </row>
    <row r="178" spans="1:13" x14ac:dyDescent="0.25">
      <c r="A178" s="1"/>
      <c r="B178" s="1"/>
      <c r="C178" s="1"/>
      <c r="D178" s="1">
        <v>5</v>
      </c>
      <c r="E178" s="1">
        <v>3</v>
      </c>
      <c r="F178" s="1"/>
      <c r="G178" s="1"/>
      <c r="H178" s="4" t="str">
        <f>'BID I'!B899</f>
        <v>Belanja Modal</v>
      </c>
      <c r="I178" s="1"/>
      <c r="J178" s="1"/>
      <c r="K178" s="91"/>
      <c r="L178" s="1"/>
    </row>
    <row r="179" spans="1:13" ht="30" x14ac:dyDescent="0.25">
      <c r="A179" s="1"/>
      <c r="B179" s="1"/>
      <c r="C179" s="1"/>
      <c r="D179" s="1"/>
      <c r="E179" s="1"/>
      <c r="F179" s="1">
        <v>4</v>
      </c>
      <c r="G179" s="1"/>
      <c r="H179" s="4" t="str">
        <f>'BID I'!B900</f>
        <v>Belanja modal Gedung, Bangunan, Tanaman</v>
      </c>
      <c r="I179" s="1"/>
      <c r="J179" s="1"/>
      <c r="K179" s="91"/>
      <c r="L179" s="1"/>
    </row>
    <row r="180" spans="1:13" ht="45" x14ac:dyDescent="0.25">
      <c r="A180" s="1"/>
      <c r="B180" s="1"/>
      <c r="C180" s="1"/>
      <c r="D180" s="1"/>
      <c r="E180" s="1"/>
      <c r="F180" s="1"/>
      <c r="G180" s="1488" t="s">
        <v>2679</v>
      </c>
      <c r="H180" s="4" t="str">
        <f>'BID I'!B901</f>
        <v>Belanja modal oprasional tim yang melaksanakan kegiatan</v>
      </c>
      <c r="I180" s="1"/>
      <c r="J180" s="1"/>
      <c r="K180" s="91">
        <f>SUM('BID I'!F903)</f>
        <v>104000</v>
      </c>
      <c r="L180" s="4" t="s">
        <v>2570</v>
      </c>
    </row>
    <row r="181" spans="1:13" ht="30" x14ac:dyDescent="0.25">
      <c r="A181" s="1"/>
      <c r="B181" s="1"/>
      <c r="C181" s="1"/>
      <c r="D181" s="1"/>
      <c r="E181" s="1"/>
      <c r="F181" s="1"/>
      <c r="G181" s="1488" t="s">
        <v>2694</v>
      </c>
      <c r="H181" s="4" t="str">
        <f>'BID I'!B904</f>
        <v>Belanja modal upah tenaga kerja</v>
      </c>
      <c r="I181" s="1"/>
      <c r="J181" s="1"/>
      <c r="K181" s="91">
        <f>'BID I'!F908</f>
        <v>1640000</v>
      </c>
      <c r="L181" s="4" t="s">
        <v>2570</v>
      </c>
    </row>
    <row r="182" spans="1:13" ht="30" x14ac:dyDescent="0.25">
      <c r="A182" s="1"/>
      <c r="B182" s="1"/>
      <c r="C182" s="1"/>
      <c r="D182" s="1"/>
      <c r="E182" s="1"/>
      <c r="F182" s="1"/>
      <c r="G182" s="1488" t="s">
        <v>2696</v>
      </c>
      <c r="H182" s="1493" t="str">
        <f>'BID I'!B909</f>
        <v>Belanja modal bahan baku</v>
      </c>
      <c r="I182" s="1"/>
      <c r="J182" s="1"/>
      <c r="K182" s="91">
        <f>'BID I'!F914</f>
        <v>3560000</v>
      </c>
      <c r="L182" s="4" t="s">
        <v>2570</v>
      </c>
    </row>
    <row r="183" spans="1:13" ht="75" x14ac:dyDescent="0.25">
      <c r="A183" s="1027">
        <v>1</v>
      </c>
      <c r="B183" s="1027">
        <v>2</v>
      </c>
      <c r="C183" s="1491" t="s">
        <v>2694</v>
      </c>
      <c r="D183" s="1027"/>
      <c r="E183" s="1027"/>
      <c r="F183" s="1027"/>
      <c r="G183" s="1027"/>
      <c r="H183" s="1028" t="str">
        <f>'BID I'!B929</f>
        <v>Pemeliharaan/ Rehabilitasi/ Peningkatan Gedung/ Prasarana Kantor Desa (Perbaikan Instalasi AC)</v>
      </c>
      <c r="I183" s="1027"/>
      <c r="J183" s="1027"/>
      <c r="K183" s="1492">
        <f>SUM(K185:K188)</f>
        <v>11573900</v>
      </c>
      <c r="L183" s="1027" t="s">
        <v>1845</v>
      </c>
      <c r="M183" s="32">
        <f>'BID I'!F953</f>
        <v>11573900</v>
      </c>
    </row>
    <row r="184" spans="1:13" x14ac:dyDescent="0.25">
      <c r="A184" s="1"/>
      <c r="B184" s="1"/>
      <c r="C184" s="1"/>
      <c r="D184" s="1">
        <v>5</v>
      </c>
      <c r="E184" s="1">
        <v>3</v>
      </c>
      <c r="F184" s="1"/>
      <c r="G184" s="1"/>
      <c r="H184" s="4" t="str">
        <f>'BID I'!B936</f>
        <v>Belanja Modal</v>
      </c>
      <c r="I184" s="1"/>
      <c r="J184" s="1"/>
      <c r="K184" s="91"/>
      <c r="L184" s="1"/>
    </row>
    <row r="185" spans="1:13" ht="30" x14ac:dyDescent="0.25">
      <c r="A185" s="1"/>
      <c r="B185" s="1"/>
      <c r="C185" s="1"/>
      <c r="D185" s="1"/>
      <c r="E185" s="1"/>
      <c r="F185" s="1">
        <v>4</v>
      </c>
      <c r="G185" s="1"/>
      <c r="H185" s="4" t="str">
        <f>'BID I'!B937</f>
        <v>Belanja modal Gedung, Bangunan, Tanaman</v>
      </c>
      <c r="I185" s="1"/>
      <c r="J185" s="1"/>
      <c r="K185" s="91"/>
      <c r="L185" s="1"/>
    </row>
    <row r="186" spans="1:13" x14ac:dyDescent="0.25">
      <c r="A186" s="1"/>
      <c r="B186" s="1"/>
      <c r="C186" s="1"/>
      <c r="D186" s="1"/>
      <c r="E186" s="1"/>
      <c r="F186" s="1"/>
      <c r="G186" s="1488" t="s">
        <v>2679</v>
      </c>
      <c r="H186" s="4" t="str">
        <f>'BID I'!B939</f>
        <v>Oprasional TPK</v>
      </c>
      <c r="I186" s="1"/>
      <c r="J186" s="1"/>
      <c r="K186" s="91">
        <f>'BID I'!F940</f>
        <v>222000</v>
      </c>
      <c r="L186" s="1" t="s">
        <v>1845</v>
      </c>
    </row>
    <row r="187" spans="1:13" ht="30" x14ac:dyDescent="0.25">
      <c r="A187" s="1"/>
      <c r="B187" s="1"/>
      <c r="C187" s="1"/>
      <c r="D187" s="1"/>
      <c r="E187" s="1"/>
      <c r="F187" s="1"/>
      <c r="G187" s="1488" t="s">
        <v>2694</v>
      </c>
      <c r="H187" s="4" t="str">
        <f>'BID I'!B941</f>
        <v>Belanja modal upah tenaga kerja</v>
      </c>
      <c r="I187" s="1"/>
      <c r="J187" s="1"/>
      <c r="K187" s="91">
        <f>'BID I'!F945</f>
        <v>5330000</v>
      </c>
      <c r="L187" s="1" t="s">
        <v>1845</v>
      </c>
    </row>
    <row r="188" spans="1:13" ht="30" x14ac:dyDescent="0.25">
      <c r="A188" s="1"/>
      <c r="B188" s="1"/>
      <c r="C188" s="1"/>
      <c r="D188" s="1"/>
      <c r="E188" s="1"/>
      <c r="F188" s="1"/>
      <c r="G188" s="1488" t="s">
        <v>2696</v>
      </c>
      <c r="H188" s="4" t="str">
        <f>'BID I'!B946</f>
        <v>Belanja modal bahan baku</v>
      </c>
      <c r="I188" s="1"/>
      <c r="J188" s="1"/>
      <c r="K188" s="91">
        <f>'BID I'!F951</f>
        <v>6021900</v>
      </c>
      <c r="L188" s="1" t="s">
        <v>1845</v>
      </c>
    </row>
    <row r="189" spans="1:13" ht="60" x14ac:dyDescent="0.25">
      <c r="A189" s="1027">
        <v>1</v>
      </c>
      <c r="B189" s="1027">
        <v>3</v>
      </c>
      <c r="C189" s="1027"/>
      <c r="D189" s="1027"/>
      <c r="E189" s="1027"/>
      <c r="F189" s="1027"/>
      <c r="G189" s="1027"/>
      <c r="H189" s="1028" t="str">
        <f>'BID I'!B995</f>
        <v>: Administrasi Kependudukan, Pencatatan Sipil, Statistik Dan Kearsipan</v>
      </c>
      <c r="I189" s="1027"/>
      <c r="J189" s="1027"/>
      <c r="K189" s="1492"/>
      <c r="L189" s="1027"/>
    </row>
    <row r="190" spans="1:13" ht="75" x14ac:dyDescent="0.25">
      <c r="A190" s="1027">
        <v>1</v>
      </c>
      <c r="B190" s="1027">
        <v>3</v>
      </c>
      <c r="C190" s="1491" t="s">
        <v>2694</v>
      </c>
      <c r="D190" s="1027"/>
      <c r="E190" s="1027"/>
      <c r="F190" s="1027"/>
      <c r="G190" s="1027"/>
      <c r="H190" s="1028" t="str">
        <f>'BID I'!B996</f>
        <v>: Penyusunan/ Pendataan/Pemuktahiran Profil Desa (Profil Kependudukan dan potensi Desa )</v>
      </c>
      <c r="I190" s="1027"/>
      <c r="J190" s="1027"/>
      <c r="K190" s="1492">
        <f>SUM(K191:K202)</f>
        <v>44906000</v>
      </c>
      <c r="L190" s="1027"/>
      <c r="M190" s="32">
        <f>'BID I'!F1035</f>
        <v>44906000</v>
      </c>
    </row>
    <row r="191" spans="1:13" x14ac:dyDescent="0.25">
      <c r="A191" s="1"/>
      <c r="B191" s="1"/>
      <c r="C191" s="1"/>
      <c r="D191" s="1">
        <v>5</v>
      </c>
      <c r="E191" s="1">
        <v>2</v>
      </c>
      <c r="F191" s="1"/>
      <c r="G191" s="1"/>
      <c r="H191" s="4" t="str">
        <f>'BID I'!B1003</f>
        <v>Belanja Barang Jasa</v>
      </c>
      <c r="I191" s="1"/>
      <c r="J191" s="1"/>
      <c r="K191" s="91"/>
      <c r="L191" s="1"/>
    </row>
    <row r="192" spans="1:13" ht="30" x14ac:dyDescent="0.25">
      <c r="A192" s="1"/>
      <c r="B192" s="1"/>
      <c r="C192" s="1"/>
      <c r="D192" s="1"/>
      <c r="E192" s="1"/>
      <c r="F192" s="1">
        <v>1</v>
      </c>
      <c r="G192" s="1"/>
      <c r="H192" s="4" t="str">
        <f>'BID I'!B1004</f>
        <v>Belanja Barang Perlengkapan</v>
      </c>
      <c r="I192" s="1"/>
      <c r="J192" s="1"/>
      <c r="K192" s="91"/>
      <c r="L192" s="1"/>
    </row>
    <row r="193" spans="1:13" ht="30" x14ac:dyDescent="0.25">
      <c r="A193" s="1"/>
      <c r="B193" s="1"/>
      <c r="C193" s="1"/>
      <c r="D193" s="1"/>
      <c r="E193" s="1"/>
      <c r="F193" s="1"/>
      <c r="G193" s="1488" t="s">
        <v>2700</v>
      </c>
      <c r="H193" s="4" t="str">
        <f>'BID I'!B1005</f>
        <v>Belanja Perlengkapan Barang Konsumsi</v>
      </c>
      <c r="I193" s="1"/>
      <c r="J193" s="1"/>
      <c r="K193" s="91">
        <f>'BID I'!F1006</f>
        <v>750000</v>
      </c>
      <c r="L193" s="4" t="s">
        <v>2571</v>
      </c>
    </row>
    <row r="194" spans="1:13" ht="30" x14ac:dyDescent="0.25">
      <c r="A194" s="1"/>
      <c r="B194" s="1"/>
      <c r="C194" s="1"/>
      <c r="D194" s="1"/>
      <c r="E194" s="1"/>
      <c r="F194" s="1"/>
      <c r="G194" s="1488" t="s">
        <v>2702</v>
      </c>
      <c r="H194" s="4" t="str">
        <f>'BID I'!B1008</f>
        <v>Belanja Bendera/ Umbul-umbul/ Spanduk</v>
      </c>
      <c r="I194" s="1"/>
      <c r="J194" s="1"/>
      <c r="K194" s="91">
        <f>'BID I'!F1009</f>
        <v>90000</v>
      </c>
      <c r="L194" s="4" t="s">
        <v>2571</v>
      </c>
    </row>
    <row r="195" spans="1:13" ht="30" x14ac:dyDescent="0.25">
      <c r="A195" s="1"/>
      <c r="B195" s="1"/>
      <c r="C195" s="1"/>
      <c r="D195" s="1"/>
      <c r="E195" s="1"/>
      <c r="F195" s="1"/>
      <c r="G195" s="1">
        <v>90</v>
      </c>
      <c r="H195" s="4" t="str">
        <f>'BID I'!B1011</f>
        <v>Belanja Upakara, Upacara Dan Aci-aci</v>
      </c>
      <c r="I195" s="1"/>
      <c r="J195" s="1"/>
      <c r="K195" s="91">
        <f>SUM('BID I'!F1012:F1014)</f>
        <v>66000</v>
      </c>
      <c r="L195" s="4" t="s">
        <v>2571</v>
      </c>
    </row>
    <row r="196" spans="1:13" x14ac:dyDescent="0.25">
      <c r="A196" s="1"/>
      <c r="B196" s="1"/>
      <c r="C196" s="1"/>
      <c r="D196" s="1"/>
      <c r="E196" s="1"/>
      <c r="F196" s="1"/>
      <c r="G196" s="1"/>
      <c r="H196" s="4" t="str">
        <f>'BID I'!B1016</f>
        <v>Pendataan</v>
      </c>
      <c r="I196" s="1"/>
      <c r="J196" s="1"/>
      <c r="K196" s="91"/>
      <c r="L196" s="1"/>
    </row>
    <row r="197" spans="1:13" x14ac:dyDescent="0.25">
      <c r="A197" s="1"/>
      <c r="B197" s="1"/>
      <c r="C197" s="1"/>
      <c r="D197" s="1">
        <v>5</v>
      </c>
      <c r="E197" s="1">
        <v>2</v>
      </c>
      <c r="F197" s="1"/>
      <c r="G197" s="1"/>
      <c r="H197" s="4" t="str">
        <f>'BID I'!B1018</f>
        <v>Belanja Barang Jasa</v>
      </c>
      <c r="I197" s="1"/>
      <c r="J197" s="1"/>
      <c r="K197" s="91"/>
      <c r="L197" s="1"/>
    </row>
    <row r="198" spans="1:13" ht="30" x14ac:dyDescent="0.25">
      <c r="A198" s="1"/>
      <c r="B198" s="1"/>
      <c r="C198" s="1"/>
      <c r="D198" s="1"/>
      <c r="E198" s="1"/>
      <c r="F198" s="1">
        <v>1</v>
      </c>
      <c r="G198" s="1"/>
      <c r="H198" s="4" t="str">
        <f>'BID I'!B1019</f>
        <v>Belanja Barang Perlengkapan</v>
      </c>
      <c r="I198" s="1"/>
      <c r="J198" s="1"/>
      <c r="K198" s="91"/>
      <c r="L198" s="1"/>
    </row>
    <row r="199" spans="1:13" ht="30" x14ac:dyDescent="0.25">
      <c r="A199" s="1"/>
      <c r="B199" s="1"/>
      <c r="C199" s="1"/>
      <c r="D199" s="1"/>
      <c r="E199" s="1"/>
      <c r="F199" s="1"/>
      <c r="G199" s="1488" t="s">
        <v>2699</v>
      </c>
      <c r="H199" s="4" t="str">
        <f>'BID I'!B1020</f>
        <v>Belanja Perlengkapan Cetak</v>
      </c>
      <c r="I199" s="1"/>
      <c r="J199" s="1"/>
      <c r="K199" s="91">
        <f>SUM('BID I'!F1021:F1023)</f>
        <v>33400000</v>
      </c>
      <c r="L199" s="4" t="s">
        <v>2571</v>
      </c>
    </row>
    <row r="200" spans="1:13" x14ac:dyDescent="0.25">
      <c r="A200" s="1"/>
      <c r="B200" s="1"/>
      <c r="C200" s="1"/>
      <c r="D200" s="1">
        <v>5</v>
      </c>
      <c r="E200" s="1">
        <v>2</v>
      </c>
      <c r="F200" s="1">
        <v>2</v>
      </c>
      <c r="G200" s="1"/>
      <c r="H200" s="4" t="str">
        <f>'BID I'!B1025</f>
        <v xml:space="preserve">Belanja Jasa Honorarium </v>
      </c>
      <c r="I200" s="1"/>
      <c r="J200" s="1"/>
      <c r="K200" s="91"/>
      <c r="L200" s="1"/>
    </row>
    <row r="201" spans="1:13" ht="45" x14ac:dyDescent="0.25">
      <c r="A201" s="1"/>
      <c r="B201" s="1"/>
      <c r="C201" s="1"/>
      <c r="D201" s="1"/>
      <c r="E201" s="1"/>
      <c r="F201" s="1"/>
      <c r="G201" s="1488" t="s">
        <v>2679</v>
      </c>
      <c r="H201" s="4" t="str">
        <f>'BID I'!B1026</f>
        <v>Belanja Jasa Honorarium yang Melaksanakan Kegiatan</v>
      </c>
      <c r="I201" s="1"/>
      <c r="J201" s="1"/>
      <c r="K201" s="91">
        <f>SUM('BID I'!F1027:F1028)</f>
        <v>700000</v>
      </c>
      <c r="L201" s="4" t="s">
        <v>2571</v>
      </c>
    </row>
    <row r="202" spans="1:13" ht="30" x14ac:dyDescent="0.25">
      <c r="A202" s="1"/>
      <c r="B202" s="1"/>
      <c r="C202" s="1"/>
      <c r="D202" s="1"/>
      <c r="E202" s="1"/>
      <c r="F202" s="1"/>
      <c r="G202" s="1488" t="s">
        <v>2699</v>
      </c>
      <c r="H202" s="4" t="str">
        <f>'BID I'!B1030</f>
        <v>Belanja Jasa Honorarium Petugas</v>
      </c>
      <c r="I202" s="1"/>
      <c r="J202" s="1"/>
      <c r="K202" s="91">
        <f>'BID I'!F1031+'BID I'!F1032</f>
        <v>9900000</v>
      </c>
      <c r="L202" s="4" t="s">
        <v>2571</v>
      </c>
    </row>
    <row r="203" spans="1:13" ht="60" x14ac:dyDescent="0.25">
      <c r="A203" s="1027">
        <v>1</v>
      </c>
      <c r="B203" s="1027">
        <v>3</v>
      </c>
      <c r="C203" s="1491" t="s">
        <v>2694</v>
      </c>
      <c r="D203" s="1027"/>
      <c r="E203" s="1027"/>
      <c r="F203" s="1027"/>
      <c r="G203" s="1027"/>
      <c r="H203" s="1028" t="str">
        <f>'BID I'!B1049</f>
        <v>: Penyusunan/ Pendataan/Pemuktahiran Profil Desa (Pengkajian Tapal Batas Desa )</v>
      </c>
      <c r="I203" s="1027"/>
      <c r="J203" s="1027"/>
      <c r="K203" s="1492">
        <f>SUM(K204:K210)</f>
        <v>16440000</v>
      </c>
      <c r="L203" s="1027"/>
      <c r="M203" s="32">
        <f>'BID I'!F1074</f>
        <v>16440000</v>
      </c>
    </row>
    <row r="204" spans="1:13" x14ac:dyDescent="0.25">
      <c r="A204" s="1"/>
      <c r="B204" s="1"/>
      <c r="C204" s="1"/>
      <c r="D204" s="1">
        <v>5</v>
      </c>
      <c r="E204" s="1">
        <v>2</v>
      </c>
      <c r="F204" s="1"/>
      <c r="G204" s="1"/>
      <c r="H204" s="4" t="str">
        <f>'BID I'!B1055</f>
        <v>Belanja Barang Jasa</v>
      </c>
      <c r="I204" s="1"/>
      <c r="J204" s="1"/>
      <c r="K204" s="91"/>
      <c r="L204" s="1"/>
    </row>
    <row r="205" spans="1:13" ht="30" x14ac:dyDescent="0.25">
      <c r="A205" s="1"/>
      <c r="B205" s="1"/>
      <c r="C205" s="1"/>
      <c r="D205" s="1"/>
      <c r="E205" s="1"/>
      <c r="F205" s="1">
        <v>1</v>
      </c>
      <c r="G205" s="1"/>
      <c r="H205" s="4" t="str">
        <f>'BID I'!B1056</f>
        <v>Belanja Barang Perlengkapan</v>
      </c>
      <c r="I205" s="1"/>
      <c r="J205" s="1"/>
      <c r="K205" s="91"/>
      <c r="L205" s="1"/>
    </row>
    <row r="206" spans="1:13" ht="30" x14ac:dyDescent="0.25">
      <c r="A206" s="1"/>
      <c r="B206" s="1"/>
      <c r="C206" s="1"/>
      <c r="D206" s="1"/>
      <c r="E206" s="1"/>
      <c r="F206" s="1"/>
      <c r="G206" s="1488" t="s">
        <v>2700</v>
      </c>
      <c r="H206" s="4" t="str">
        <f>'BID I'!B1057</f>
        <v>Belanja Perlengkapan Barang Konsumsi</v>
      </c>
      <c r="I206" s="1"/>
      <c r="J206" s="1"/>
      <c r="K206" s="91">
        <f>'BID I'!F1058</f>
        <v>2250000</v>
      </c>
      <c r="L206" s="1" t="s">
        <v>1845</v>
      </c>
    </row>
    <row r="207" spans="1:13" ht="30" x14ac:dyDescent="0.25">
      <c r="A207" s="1"/>
      <c r="B207" s="1"/>
      <c r="C207" s="1"/>
      <c r="D207" s="1"/>
      <c r="E207" s="1"/>
      <c r="F207" s="1"/>
      <c r="G207" s="1488" t="s">
        <v>2702</v>
      </c>
      <c r="H207" s="4" t="str">
        <f>'BID I'!B1060</f>
        <v>Belanja Bendera/ Umbul-umbul/ Spanduk</v>
      </c>
      <c r="I207" s="1"/>
      <c r="J207" s="1"/>
      <c r="K207" s="91">
        <f>'BID I'!F1061</f>
        <v>90000</v>
      </c>
      <c r="L207" s="1" t="s">
        <v>1845</v>
      </c>
    </row>
    <row r="208" spans="1:13" ht="30" x14ac:dyDescent="0.25">
      <c r="A208" s="1"/>
      <c r="B208" s="1"/>
      <c r="C208" s="1"/>
      <c r="D208" s="1"/>
      <c r="E208" s="1"/>
      <c r="F208" s="1"/>
      <c r="G208" s="1488" t="s">
        <v>2699</v>
      </c>
      <c r="H208" s="4" t="str">
        <f>'BID I'!B1063</f>
        <v>Belanja Perlengkapan Cetak</v>
      </c>
      <c r="I208" s="1"/>
      <c r="J208" s="1"/>
      <c r="K208" s="91">
        <f>'BID I'!F1064</f>
        <v>150000</v>
      </c>
      <c r="L208" s="1" t="s">
        <v>1845</v>
      </c>
    </row>
    <row r="209" spans="1:13" x14ac:dyDescent="0.25">
      <c r="A209" s="1"/>
      <c r="B209" s="1"/>
      <c r="C209" s="1"/>
      <c r="D209" s="1">
        <v>5</v>
      </c>
      <c r="E209" s="1">
        <v>2</v>
      </c>
      <c r="F209" s="1">
        <v>2</v>
      </c>
      <c r="G209" s="1"/>
      <c r="H209" s="4" t="str">
        <f>'BID I'!B1066</f>
        <v xml:space="preserve">Belanja Jasa Honorarium </v>
      </c>
      <c r="I209" s="1"/>
      <c r="J209" s="1"/>
      <c r="K209" s="91"/>
      <c r="L209" s="1"/>
    </row>
    <row r="210" spans="1:13" ht="45" x14ac:dyDescent="0.25">
      <c r="A210" s="1"/>
      <c r="B210" s="1"/>
      <c r="C210" s="1"/>
      <c r="D210" s="1"/>
      <c r="E210" s="1"/>
      <c r="F210" s="1"/>
      <c r="G210" s="1488" t="s">
        <v>2679</v>
      </c>
      <c r="H210" s="4" t="str">
        <f>'BID I'!B1067</f>
        <v>Belanja Jasa Honorarium yang Melaksanakan Kegiatan</v>
      </c>
      <c r="I210" s="1"/>
      <c r="J210" s="1"/>
      <c r="K210" s="91">
        <f>SUM('BID I'!F1068:F1070)</f>
        <v>13950000</v>
      </c>
      <c r="L210" s="1" t="s">
        <v>1845</v>
      </c>
    </row>
    <row r="211" spans="1:13" ht="75" x14ac:dyDescent="0.25">
      <c r="A211" s="1027">
        <v>1</v>
      </c>
      <c r="B211" s="1027">
        <v>3</v>
      </c>
      <c r="C211" s="1027">
        <v>90</v>
      </c>
      <c r="D211" s="1027"/>
      <c r="E211" s="1027"/>
      <c r="F211" s="1027"/>
      <c r="G211" s="1027"/>
      <c r="H211" s="1028" t="str">
        <f>'BID I'!B1090</f>
        <v>: Pengelolaan Administrasi dan Kearsipan pemerintahan Desa ( Pelatihan Kearsipan )</v>
      </c>
      <c r="I211" s="1027"/>
      <c r="J211" s="1027"/>
      <c r="K211" s="1492">
        <f>SUM(K214:K218)</f>
        <v>900000</v>
      </c>
      <c r="L211" s="1027"/>
      <c r="M211" s="32">
        <f>'BID I'!F1112</f>
        <v>900000</v>
      </c>
    </row>
    <row r="212" spans="1:13" x14ac:dyDescent="0.25">
      <c r="A212" s="1"/>
      <c r="B212" s="1"/>
      <c r="C212" s="1"/>
      <c r="D212" s="1">
        <v>5</v>
      </c>
      <c r="E212" s="1">
        <v>2</v>
      </c>
      <c r="F212" s="1"/>
      <c r="G212" s="1"/>
      <c r="H212" s="4" t="str">
        <f>'BID I'!B1096</f>
        <v>Belanja Barang Jasa</v>
      </c>
      <c r="I212" s="1"/>
      <c r="J212" s="1"/>
      <c r="K212" s="91"/>
      <c r="L212" s="1"/>
    </row>
    <row r="213" spans="1:13" ht="30" x14ac:dyDescent="0.25">
      <c r="A213" s="1"/>
      <c r="B213" s="1"/>
      <c r="C213" s="1"/>
      <c r="D213" s="1"/>
      <c r="E213" s="1"/>
      <c r="F213" s="1">
        <v>1</v>
      </c>
      <c r="G213" s="1"/>
      <c r="H213" s="4" t="str">
        <f>'BID I'!B1097</f>
        <v>Belanja Barang Perlengkapan</v>
      </c>
      <c r="I213" s="1"/>
      <c r="J213" s="1"/>
      <c r="K213" s="91"/>
      <c r="L213" s="1"/>
    </row>
    <row r="214" spans="1:13" ht="60" x14ac:dyDescent="0.25">
      <c r="A214" s="1"/>
      <c r="B214" s="1"/>
      <c r="C214" s="1"/>
      <c r="D214" s="1"/>
      <c r="E214" s="1"/>
      <c r="F214" s="1"/>
      <c r="G214" s="1488" t="s">
        <v>2699</v>
      </c>
      <c r="H214" s="4" t="str">
        <f>'BID I'!B1098</f>
        <v>Belanja perlengkapan cetak/pengadaan - belanja barang cetak dan pengadaan</v>
      </c>
      <c r="I214" s="1"/>
      <c r="J214" s="1"/>
      <c r="K214" s="91">
        <f>SUM('BID I'!F1099)</f>
        <v>90000</v>
      </c>
      <c r="L214" s="4" t="s">
        <v>2567</v>
      </c>
    </row>
    <row r="215" spans="1:13" ht="60" x14ac:dyDescent="0.25">
      <c r="A215" s="1"/>
      <c r="B215" s="1"/>
      <c r="C215" s="1"/>
      <c r="D215" s="1"/>
      <c r="E215" s="1"/>
      <c r="F215" s="1"/>
      <c r="G215" s="1488" t="s">
        <v>2700</v>
      </c>
      <c r="H215" s="4" t="str">
        <f>'BID I'!B1101</f>
        <v>Belanja perlengkapan barang konsumsi (makan/minum)- Belanja Barang Konsumsi</v>
      </c>
      <c r="I215" s="1"/>
      <c r="J215" s="1"/>
      <c r="K215" s="91">
        <f>'BID I'!F1102</f>
        <v>450000</v>
      </c>
      <c r="L215" s="4" t="s">
        <v>2567</v>
      </c>
    </row>
    <row r="216" spans="1:13" ht="30" x14ac:dyDescent="0.25">
      <c r="A216" s="1"/>
      <c r="B216" s="1"/>
      <c r="C216" s="1"/>
      <c r="D216" s="1"/>
      <c r="E216" s="1"/>
      <c r="F216" s="1"/>
      <c r="G216" s="1">
        <v>90</v>
      </c>
      <c r="H216" s="4" t="str">
        <f>'BID I'!B1104</f>
        <v>Belanja Upakara, Upacara Dan Aci- Aci</v>
      </c>
      <c r="I216" s="1"/>
      <c r="J216" s="1"/>
      <c r="K216" s="91">
        <f>SUM('BID I'!F1105:F1106)</f>
        <v>60000</v>
      </c>
      <c r="L216" s="4" t="s">
        <v>2567</v>
      </c>
    </row>
    <row r="217" spans="1:13" x14ac:dyDescent="0.25">
      <c r="A217" s="1"/>
      <c r="B217" s="1"/>
      <c r="C217" s="1"/>
      <c r="D217" s="1">
        <v>5</v>
      </c>
      <c r="E217" s="1">
        <v>2</v>
      </c>
      <c r="F217" s="1">
        <v>2</v>
      </c>
      <c r="G217" s="1"/>
      <c r="H217" s="4" t="str">
        <f>'BID I'!B1108</f>
        <v>Belanja  Jasa Honorarium</v>
      </c>
      <c r="I217" s="1"/>
      <c r="J217" s="1"/>
      <c r="K217" s="91"/>
      <c r="L217" s="1"/>
    </row>
    <row r="218" spans="1:13" ht="45" x14ac:dyDescent="0.25">
      <c r="A218" s="1"/>
      <c r="B218" s="1"/>
      <c r="C218" s="1"/>
      <c r="D218" s="1"/>
      <c r="E218" s="1"/>
      <c r="F218" s="1"/>
      <c r="G218" s="1488" t="s">
        <v>2699</v>
      </c>
      <c r="H218" s="4" t="str">
        <f>'BID I'!B1109</f>
        <v>Belanja Jasa Honorarium Ahli/Profesi/Konsultan/Narasumber</v>
      </c>
      <c r="I218" s="1"/>
      <c r="J218" s="1"/>
      <c r="K218" s="91">
        <f>'BID I'!F1110</f>
        <v>300000</v>
      </c>
      <c r="L218" s="4" t="s">
        <v>2567</v>
      </c>
    </row>
    <row r="219" spans="1:13" ht="75" x14ac:dyDescent="0.25">
      <c r="A219" s="1027">
        <v>1</v>
      </c>
      <c r="B219" s="1027">
        <v>3</v>
      </c>
      <c r="C219" s="1027">
        <v>90</v>
      </c>
      <c r="D219" s="1027"/>
      <c r="E219" s="1027"/>
      <c r="F219" s="1027"/>
      <c r="G219" s="1027"/>
      <c r="H219" s="1028" t="str">
        <f>'BID I'!B1127</f>
        <v>: Pendataan Administrasi Penduduk Non Permanen (Penertiban Penduduk Pendatang dan Sidak Dialogis)</v>
      </c>
      <c r="I219" s="1027"/>
      <c r="J219" s="1027"/>
      <c r="K219" s="1492">
        <f>SUM(K220:K225)</f>
        <v>37270000</v>
      </c>
      <c r="L219" s="1027"/>
      <c r="M219" s="32">
        <f>'BID I'!F1149</f>
        <v>37270000</v>
      </c>
    </row>
    <row r="220" spans="1:13" x14ac:dyDescent="0.25">
      <c r="A220" s="1"/>
      <c r="B220" s="1"/>
      <c r="C220" s="1"/>
      <c r="D220" s="1">
        <v>5</v>
      </c>
      <c r="E220" s="1">
        <v>2</v>
      </c>
      <c r="F220" s="1"/>
      <c r="G220" s="1"/>
      <c r="H220" s="4" t="str">
        <f>'BID I'!B1133</f>
        <v>Belanja Barang dan Jasa</v>
      </c>
      <c r="I220" s="1"/>
      <c r="J220" s="1"/>
      <c r="K220" s="91"/>
      <c r="L220" s="1"/>
    </row>
    <row r="221" spans="1:13" ht="30" x14ac:dyDescent="0.25">
      <c r="A221" s="1"/>
      <c r="B221" s="1"/>
      <c r="C221" s="1"/>
      <c r="D221" s="1"/>
      <c r="E221" s="1"/>
      <c r="F221" s="1">
        <v>1</v>
      </c>
      <c r="G221" s="1"/>
      <c r="H221" s="4" t="str">
        <f>'BID I'!B1134</f>
        <v>Belanja Barang Perlengkapan</v>
      </c>
      <c r="I221" s="1"/>
      <c r="J221" s="1"/>
      <c r="K221" s="91"/>
      <c r="L221" s="1"/>
    </row>
    <row r="222" spans="1:13" ht="60" x14ac:dyDescent="0.25">
      <c r="A222" s="1"/>
      <c r="B222" s="1"/>
      <c r="C222" s="1"/>
      <c r="D222" s="1"/>
      <c r="E222" s="1"/>
      <c r="F222" s="1"/>
      <c r="G222" s="1488" t="s">
        <v>2699</v>
      </c>
      <c r="H222" s="4" t="str">
        <f>'BID I'!B1135</f>
        <v>Belanja perlengkapan cetak/pengadaan - belanja barang cetak dan pengadaan</v>
      </c>
      <c r="I222" s="1"/>
      <c r="J222" s="1"/>
      <c r="K222" s="91">
        <f>'BID I'!F1136</f>
        <v>800000</v>
      </c>
      <c r="L222" s="4" t="s">
        <v>2571</v>
      </c>
    </row>
    <row r="223" spans="1:13" ht="30" x14ac:dyDescent="0.25">
      <c r="A223" s="1"/>
      <c r="B223" s="1"/>
      <c r="C223" s="1"/>
      <c r="D223" s="1"/>
      <c r="E223" s="1"/>
      <c r="F223" s="1"/>
      <c r="G223" s="1488" t="s">
        <v>2700</v>
      </c>
      <c r="H223" s="4" t="str">
        <f>'BID I'!B1138</f>
        <v>Belanja Perlengkapan Barang Konsumsi</v>
      </c>
      <c r="I223" s="1"/>
      <c r="J223" s="1"/>
      <c r="K223" s="91">
        <f>SUM('BID I'!F1139:F1141)</f>
        <v>9270000</v>
      </c>
      <c r="L223" s="4" t="s">
        <v>2571</v>
      </c>
    </row>
    <row r="224" spans="1:13" x14ac:dyDescent="0.25">
      <c r="A224" s="1"/>
      <c r="B224" s="1"/>
      <c r="C224" s="1"/>
      <c r="D224" s="1">
        <v>5</v>
      </c>
      <c r="E224" s="1">
        <v>2</v>
      </c>
      <c r="F224" s="1">
        <v>2</v>
      </c>
      <c r="G224" s="1"/>
      <c r="H224" s="4" t="str">
        <f>'BID I'!B1144</f>
        <v>Belanja Jasa Honorarium</v>
      </c>
      <c r="I224" s="1"/>
      <c r="J224" s="1"/>
      <c r="K224" s="91"/>
      <c r="L224" s="1"/>
    </row>
    <row r="225" spans="1:13" ht="30" x14ac:dyDescent="0.25">
      <c r="A225" s="1"/>
      <c r="B225" s="1"/>
      <c r="C225" s="1"/>
      <c r="D225" s="1"/>
      <c r="E225" s="1"/>
      <c r="F225" s="1"/>
      <c r="G225" s="1488" t="s">
        <v>2697</v>
      </c>
      <c r="H225" s="4" t="str">
        <f>'BID I'!B1145</f>
        <v>Belanja Jasa Honorium Petugas</v>
      </c>
      <c r="I225" s="1"/>
      <c r="J225" s="1"/>
      <c r="K225" s="91">
        <f>SUM('BID I'!F1146)</f>
        <v>27200000</v>
      </c>
      <c r="L225" s="4" t="s">
        <v>2571</v>
      </c>
    </row>
    <row r="226" spans="1:13" ht="60" x14ac:dyDescent="0.25">
      <c r="A226" s="1027">
        <v>1</v>
      </c>
      <c r="B226" s="1027">
        <v>4</v>
      </c>
      <c r="C226" s="1027">
        <v>1</v>
      </c>
      <c r="D226" s="1027"/>
      <c r="E226" s="1027"/>
      <c r="F226" s="1027"/>
      <c r="G226" s="1027"/>
      <c r="H226" s="1028" t="str">
        <f>'BID I'!B1165</f>
        <v>Penyelenggaraan Musyawarah Desa/ Pembahasan APBDes (Musrenbangdes)</v>
      </c>
      <c r="I226" s="1027"/>
      <c r="J226" s="1027"/>
      <c r="K226" s="1492">
        <f>SUM(K227:K235)</f>
        <v>25700000</v>
      </c>
      <c r="L226" s="1027"/>
      <c r="M226" s="36">
        <f>'BID I'!F1192</f>
        <v>25700000</v>
      </c>
    </row>
    <row r="227" spans="1:13" x14ac:dyDescent="0.25">
      <c r="A227" s="1"/>
      <c r="B227" s="1"/>
      <c r="C227" s="1"/>
      <c r="D227" s="1">
        <v>5</v>
      </c>
      <c r="E227" s="1">
        <v>2</v>
      </c>
      <c r="F227" s="1"/>
      <c r="G227" s="1"/>
      <c r="H227" s="4" t="str">
        <f>'BID I'!B1171</f>
        <v>Belanja Barang Jasa</v>
      </c>
      <c r="I227" s="1"/>
      <c r="J227" s="1"/>
      <c r="K227" s="91"/>
      <c r="L227" s="1"/>
    </row>
    <row r="228" spans="1:13" ht="30" x14ac:dyDescent="0.25">
      <c r="A228" s="1"/>
      <c r="B228" s="1"/>
      <c r="C228" s="1"/>
      <c r="D228" s="1"/>
      <c r="E228" s="1"/>
      <c r="F228" s="1">
        <v>1</v>
      </c>
      <c r="G228" s="1"/>
      <c r="H228" s="4" t="str">
        <f>'BID I'!B1172</f>
        <v>Belanja Barang Perlengkapan</v>
      </c>
      <c r="I228" s="1"/>
      <c r="J228" s="1"/>
      <c r="K228" s="91"/>
      <c r="L228" s="1"/>
    </row>
    <row r="229" spans="1:13" ht="60" x14ac:dyDescent="0.25">
      <c r="A229" s="1"/>
      <c r="B229" s="1"/>
      <c r="C229" s="1"/>
      <c r="D229" s="1"/>
      <c r="E229" s="1"/>
      <c r="F229" s="1"/>
      <c r="G229" s="1488" t="s">
        <v>2699</v>
      </c>
      <c r="H229" s="4" t="str">
        <f>'BID I'!B1173</f>
        <v>Belanja perlengkapan cetak/pengadaan - belanja barang cetak dan pengadaan</v>
      </c>
      <c r="I229" s="1"/>
      <c r="J229" s="1"/>
      <c r="K229" s="91">
        <f>'BID I'!F1174</f>
        <v>180000</v>
      </c>
      <c r="L229" s="1" t="s">
        <v>1845</v>
      </c>
    </row>
    <row r="230" spans="1:13" ht="60" x14ac:dyDescent="0.25">
      <c r="A230" s="1"/>
      <c r="B230" s="1"/>
      <c r="C230" s="1"/>
      <c r="D230" s="1"/>
      <c r="E230" s="1"/>
      <c r="F230" s="1"/>
      <c r="G230" s="1488" t="s">
        <v>2700</v>
      </c>
      <c r="H230" s="4" t="str">
        <f>'BID I'!B1176</f>
        <v>Belanja perlengkapan barang konsumsi (makan/minum)- Belanja Barang Konsumsi</v>
      </c>
      <c r="I230" s="1"/>
      <c r="J230" s="1"/>
      <c r="K230" s="91">
        <f>'BID I'!F1177</f>
        <v>15000000</v>
      </c>
      <c r="L230" s="1" t="s">
        <v>1845</v>
      </c>
    </row>
    <row r="231" spans="1:13" ht="30" x14ac:dyDescent="0.25">
      <c r="A231" s="1"/>
      <c r="B231" s="1"/>
      <c r="C231" s="1"/>
      <c r="D231" s="1"/>
      <c r="E231" s="1"/>
      <c r="F231" s="1"/>
      <c r="G231" s="1">
        <v>90</v>
      </c>
      <c r="H231" s="4" t="str">
        <f>'BID I'!B1179</f>
        <v>Belanja Upakara, Upacara Dan Aci- Aci</v>
      </c>
      <c r="I231" s="1"/>
      <c r="J231" s="1"/>
      <c r="K231" s="91">
        <f>SUM('BID I'!F1180:F1182)</f>
        <v>320000</v>
      </c>
      <c r="L231" s="1" t="s">
        <v>1845</v>
      </c>
    </row>
    <row r="232" spans="1:13" x14ac:dyDescent="0.25">
      <c r="A232" s="1"/>
      <c r="B232" s="1"/>
      <c r="C232" s="1"/>
      <c r="D232" s="1">
        <v>5</v>
      </c>
      <c r="E232" s="1">
        <v>2</v>
      </c>
      <c r="F232" s="1">
        <v>2</v>
      </c>
      <c r="G232" s="1"/>
      <c r="H232" s="4" t="str">
        <f>'BID I'!B1184</f>
        <v>Belanja  Jasa Honorarium</v>
      </c>
      <c r="I232" s="1"/>
      <c r="J232" s="1"/>
      <c r="K232" s="91"/>
      <c r="L232" s="1"/>
    </row>
    <row r="233" spans="1:13" ht="30" x14ac:dyDescent="0.25">
      <c r="A233" s="1"/>
      <c r="B233" s="1"/>
      <c r="C233" s="1"/>
      <c r="D233" s="1"/>
      <c r="E233" s="1"/>
      <c r="F233" s="1"/>
      <c r="G233" s="1488" t="s">
        <v>2679</v>
      </c>
      <c r="H233" s="4" t="str">
        <f>'BID I'!B1185</f>
        <v>Belanja Jasa Honorarium Petugas</v>
      </c>
      <c r="I233" s="1"/>
      <c r="J233" s="1"/>
      <c r="K233" s="91">
        <f>'BID I'!F1186</f>
        <v>200000</v>
      </c>
      <c r="L233" s="1" t="s">
        <v>1845</v>
      </c>
    </row>
    <row r="234" spans="1:13" ht="45" x14ac:dyDescent="0.25">
      <c r="A234" s="1"/>
      <c r="B234" s="1"/>
      <c r="C234" s="1"/>
      <c r="D234" s="1">
        <v>5</v>
      </c>
      <c r="E234" s="1">
        <v>1</v>
      </c>
      <c r="F234" s="1">
        <v>7</v>
      </c>
      <c r="G234" s="1"/>
      <c r="H234" s="4" t="str">
        <f>'BID I'!B1187</f>
        <v>Belanja Barang Jasa yang diserahkan kepada masyarakat</v>
      </c>
      <c r="I234" s="1"/>
      <c r="J234" s="1"/>
      <c r="K234" s="91"/>
      <c r="L234" s="1"/>
    </row>
    <row r="235" spans="1:13" x14ac:dyDescent="0.25">
      <c r="A235" s="1"/>
      <c r="B235" s="1"/>
      <c r="C235" s="1"/>
      <c r="D235" s="1"/>
      <c r="E235" s="1"/>
      <c r="F235" s="1"/>
      <c r="G235" s="1">
        <v>91</v>
      </c>
      <c r="H235" s="4" t="str">
        <f>'BID I'!B1188</f>
        <v>Belanja uang Saku</v>
      </c>
      <c r="I235" s="1"/>
      <c r="J235" s="1"/>
      <c r="K235" s="91">
        <f>'BID I'!F1189</f>
        <v>10000000</v>
      </c>
      <c r="L235" s="1" t="s">
        <v>1845</v>
      </c>
    </row>
    <row r="236" spans="1:13" ht="105" x14ac:dyDescent="0.25">
      <c r="A236" s="1027">
        <v>1</v>
      </c>
      <c r="B236" s="1027">
        <v>4</v>
      </c>
      <c r="C236" s="1491" t="s">
        <v>2679</v>
      </c>
      <c r="D236" s="1027"/>
      <c r="E236" s="1027"/>
      <c r="F236" s="1027"/>
      <c r="G236" s="1027"/>
      <c r="H236" s="1028" t="str">
        <f>'BID I'!B1208</f>
        <v>Penyelenggaraan Musyawarah Desa/ Pembahasan APBDes (Musdes, Musrenbangdes/pra musrenbangdes, dll yang bersifat reguler )</v>
      </c>
      <c r="I236" s="1027"/>
      <c r="J236" s="1027"/>
      <c r="K236" s="1492">
        <f>SUM(K238:K245)</f>
        <v>41416000</v>
      </c>
      <c r="L236" s="1027"/>
      <c r="M236" s="36">
        <f>'BID I'!F1236</f>
        <v>41416000</v>
      </c>
    </row>
    <row r="237" spans="1:13" x14ac:dyDescent="0.25">
      <c r="A237" s="1"/>
      <c r="B237" s="1"/>
      <c r="C237" s="1"/>
      <c r="D237" s="1">
        <v>5</v>
      </c>
      <c r="E237" s="1">
        <v>2</v>
      </c>
      <c r="F237" s="1"/>
      <c r="G237" s="1"/>
      <c r="H237" s="4" t="str">
        <f>'BID I'!B1214</f>
        <v>Belanja Barang Jasa</v>
      </c>
      <c r="I237" s="1"/>
      <c r="J237" s="1"/>
      <c r="K237" s="91"/>
      <c r="L237" s="1"/>
    </row>
    <row r="238" spans="1:13" ht="30" x14ac:dyDescent="0.25">
      <c r="A238" s="1"/>
      <c r="B238" s="1"/>
      <c r="C238" s="1"/>
      <c r="D238" s="1"/>
      <c r="E238" s="1"/>
      <c r="F238" s="1">
        <v>1</v>
      </c>
      <c r="G238" s="1"/>
      <c r="H238" s="4" t="str">
        <f>'BID I'!B1215</f>
        <v>Belanja Barang Perlengkapan</v>
      </c>
      <c r="I238" s="1"/>
      <c r="J238" s="1"/>
      <c r="K238" s="91"/>
      <c r="L238" s="1"/>
    </row>
    <row r="239" spans="1:13" ht="60" x14ac:dyDescent="0.25">
      <c r="A239" s="1"/>
      <c r="B239" s="1"/>
      <c r="C239" s="1"/>
      <c r="D239" s="1"/>
      <c r="E239" s="1"/>
      <c r="F239" s="1"/>
      <c r="G239" s="1488" t="s">
        <v>2699</v>
      </c>
      <c r="H239" s="4" t="str">
        <f>'BID I'!B1216</f>
        <v>Belanja perlengkapan cetak/pengadaan - belanja barang cetak dan pengadaan</v>
      </c>
      <c r="I239" s="1"/>
      <c r="J239" s="1"/>
      <c r="K239" s="91">
        <f>SUM('BID I'!F1217)</f>
        <v>360000</v>
      </c>
      <c r="L239" s="4" t="s">
        <v>2570</v>
      </c>
    </row>
    <row r="240" spans="1:13" ht="60" x14ac:dyDescent="0.25">
      <c r="A240" s="1"/>
      <c r="B240" s="1"/>
      <c r="C240" s="1"/>
      <c r="D240" s="1"/>
      <c r="E240" s="1"/>
      <c r="F240" s="1"/>
      <c r="G240" s="1488" t="s">
        <v>2700</v>
      </c>
      <c r="H240" s="4" t="str">
        <f>'BID I'!B1219</f>
        <v>Belanja perlengkapan barang konsumsi (makan/minum)- Belanja Barang Konsumsi</v>
      </c>
      <c r="I240" s="1"/>
      <c r="J240" s="1"/>
      <c r="K240" s="91">
        <f>'BID I'!F1220</f>
        <v>24000000</v>
      </c>
      <c r="L240" s="4" t="s">
        <v>2570</v>
      </c>
    </row>
    <row r="241" spans="1:13" ht="30" x14ac:dyDescent="0.25">
      <c r="A241" s="1"/>
      <c r="B241" s="1"/>
      <c r="C241" s="1"/>
      <c r="D241" s="1"/>
      <c r="E241" s="1"/>
      <c r="F241" s="1"/>
      <c r="G241" s="1">
        <v>90</v>
      </c>
      <c r="H241" s="4" t="str">
        <f>'BID I'!B1222</f>
        <v>Belanja Upakara, Upacara Dan Aci- Aci</v>
      </c>
      <c r="I241" s="1"/>
      <c r="J241" s="1"/>
      <c r="K241" s="91">
        <f>'BID I'!F1223+'BID I'!F1224+'BID I'!F1225+'BID I'!F1226</f>
        <v>656000</v>
      </c>
      <c r="L241" s="4" t="s">
        <v>2570</v>
      </c>
    </row>
    <row r="242" spans="1:13" x14ac:dyDescent="0.25">
      <c r="A242" s="1"/>
      <c r="B242" s="1"/>
      <c r="C242" s="1"/>
      <c r="D242" s="1">
        <v>5</v>
      </c>
      <c r="E242" s="1">
        <v>2</v>
      </c>
      <c r="F242" s="1">
        <v>2</v>
      </c>
      <c r="G242" s="1"/>
      <c r="H242" s="4" t="str">
        <f>'BID I'!B1228</f>
        <v>Belanja  Jasa Honorarium</v>
      </c>
      <c r="I242" s="1"/>
      <c r="J242" s="1"/>
      <c r="K242" s="91"/>
      <c r="L242" s="1"/>
    </row>
    <row r="243" spans="1:13" ht="30" x14ac:dyDescent="0.25">
      <c r="A243" s="1"/>
      <c r="B243" s="1"/>
      <c r="C243" s="1"/>
      <c r="D243" s="1"/>
      <c r="E243" s="1"/>
      <c r="F243" s="1"/>
      <c r="G243" s="1488" t="s">
        <v>2679</v>
      </c>
      <c r="H243" s="4" t="str">
        <f>'BID I'!B1229</f>
        <v>Belanja Jasa Honorarium Petugas</v>
      </c>
      <c r="I243" s="1"/>
      <c r="J243" s="1"/>
      <c r="K243" s="91">
        <f>'BID I'!F1230</f>
        <v>400000</v>
      </c>
      <c r="L243" s="4" t="s">
        <v>2570</v>
      </c>
    </row>
    <row r="244" spans="1:13" ht="45" x14ac:dyDescent="0.25">
      <c r="A244" s="1"/>
      <c r="B244" s="1"/>
      <c r="C244" s="1"/>
      <c r="D244" s="1">
        <v>5</v>
      </c>
      <c r="E244" s="1">
        <v>2</v>
      </c>
      <c r="F244" s="1">
        <v>7</v>
      </c>
      <c r="G244" s="1"/>
      <c r="H244" s="4" t="str">
        <f>'BID I'!B1232</f>
        <v>Belanja Barang Jasa yang diserahkan kepada masyarakat</v>
      </c>
      <c r="I244" s="1"/>
      <c r="J244" s="1"/>
      <c r="K244" s="91"/>
      <c r="L244" s="1"/>
    </row>
    <row r="245" spans="1:13" ht="30" x14ac:dyDescent="0.25">
      <c r="A245" s="1"/>
      <c r="B245" s="1"/>
      <c r="C245" s="1"/>
      <c r="D245" s="1"/>
      <c r="E245" s="1"/>
      <c r="F245" s="1"/>
      <c r="G245" s="1">
        <v>91</v>
      </c>
      <c r="H245" s="4" t="str">
        <f>'BID I'!B1233</f>
        <v>Belanja Uang Saku</v>
      </c>
      <c r="I245" s="1"/>
      <c r="J245" s="1"/>
      <c r="K245" s="91">
        <f>'BID I'!F1234</f>
        <v>16000000</v>
      </c>
      <c r="L245" s="4" t="s">
        <v>2570</v>
      </c>
    </row>
    <row r="246" spans="1:13" ht="60" x14ac:dyDescent="0.25">
      <c r="A246" s="1027">
        <v>1</v>
      </c>
      <c r="B246" s="1027">
        <v>4</v>
      </c>
      <c r="C246" s="1491" t="s">
        <v>2694</v>
      </c>
      <c r="D246" s="1027"/>
      <c r="E246" s="1027"/>
      <c r="F246" s="1027"/>
      <c r="G246" s="1027"/>
      <c r="H246" s="1028" t="str">
        <f>'BID I'!B1253</f>
        <v>: Penyelenggaraan Musyawarah Desa lainya (yang bersifat non reguler )</v>
      </c>
      <c r="I246" s="1027"/>
      <c r="J246" s="1027"/>
      <c r="K246" s="1492">
        <f>SUM(K247:K255)</f>
        <v>24400000</v>
      </c>
      <c r="L246" s="1027"/>
      <c r="M246" s="36">
        <f>'BID I'!F1280</f>
        <v>24400000</v>
      </c>
    </row>
    <row r="247" spans="1:13" x14ac:dyDescent="0.25">
      <c r="A247" s="1"/>
      <c r="B247" s="1"/>
      <c r="C247" s="1"/>
      <c r="D247" s="1">
        <v>5</v>
      </c>
      <c r="E247" s="1">
        <v>2</v>
      </c>
      <c r="F247" s="1"/>
      <c r="G247" s="1"/>
      <c r="H247" s="4" t="str">
        <f>'BID I'!B1259</f>
        <v>Belanja Barang Jasa</v>
      </c>
      <c r="I247" s="1"/>
      <c r="J247" s="1"/>
      <c r="K247" s="91"/>
      <c r="L247" s="1"/>
    </row>
    <row r="248" spans="1:13" ht="30" x14ac:dyDescent="0.25">
      <c r="A248" s="1"/>
      <c r="B248" s="1"/>
      <c r="C248" s="1"/>
      <c r="D248" s="1"/>
      <c r="E248" s="1"/>
      <c r="F248" s="1">
        <v>1</v>
      </c>
      <c r="G248" s="1"/>
      <c r="H248" s="4" t="str">
        <f>'BID I'!B1260</f>
        <v>Belanja Barang Perlengkapan</v>
      </c>
      <c r="I248" s="1"/>
      <c r="J248" s="1"/>
      <c r="K248" s="91"/>
      <c r="L248" s="1"/>
    </row>
    <row r="249" spans="1:13" ht="60" x14ac:dyDescent="0.25">
      <c r="A249" s="1"/>
      <c r="B249" s="1"/>
      <c r="C249" s="1"/>
      <c r="D249" s="1"/>
      <c r="E249" s="1"/>
      <c r="F249" s="1"/>
      <c r="G249" s="1488" t="s">
        <v>2699</v>
      </c>
      <c r="H249" s="4" t="str">
        <f>'BID I'!B1261</f>
        <v>Belanja perlengkapan cetak/pengadaan - belanja barang cetak dan pengadaan</v>
      </c>
      <c r="I249" s="1"/>
      <c r="J249" s="1"/>
      <c r="K249" s="91">
        <f>'BID I'!F1262</f>
        <v>360000</v>
      </c>
      <c r="L249" s="1" t="s">
        <v>1409</v>
      </c>
    </row>
    <row r="250" spans="1:13" ht="60" x14ac:dyDescent="0.25">
      <c r="A250" s="1"/>
      <c r="B250" s="1"/>
      <c r="C250" s="1"/>
      <c r="D250" s="1"/>
      <c r="E250" s="1"/>
      <c r="F250" s="1"/>
      <c r="G250" s="1488" t="s">
        <v>2700</v>
      </c>
      <c r="H250" s="4" t="str">
        <f>'BID I'!B1264</f>
        <v>Belanja perlengkapan barang konsumsi (makan/minum)- Belanja Barang Konsumsi</v>
      </c>
      <c r="I250" s="1"/>
      <c r="J250" s="1"/>
      <c r="K250" s="91">
        <f>'BID I'!F1265</f>
        <v>15000000</v>
      </c>
      <c r="L250" s="1" t="s">
        <v>1409</v>
      </c>
    </row>
    <row r="251" spans="1:13" ht="30" x14ac:dyDescent="0.25">
      <c r="A251" s="1"/>
      <c r="B251" s="1"/>
      <c r="C251" s="1"/>
      <c r="D251" s="1"/>
      <c r="E251" s="1"/>
      <c r="F251" s="1"/>
      <c r="G251" s="1">
        <v>90</v>
      </c>
      <c r="H251" s="4" t="str">
        <f>'BID I'!B1267</f>
        <v>Belanja Upakara, Upacara Dan Aci- Aci</v>
      </c>
      <c r="I251" s="1"/>
      <c r="J251" s="1"/>
      <c r="K251" s="91">
        <f>SUM('BID I'!F1268:F1270)</f>
        <v>640000</v>
      </c>
      <c r="L251" s="1" t="s">
        <v>1409</v>
      </c>
    </row>
    <row r="252" spans="1:13" x14ac:dyDescent="0.25">
      <c r="A252" s="1"/>
      <c r="B252" s="1"/>
      <c r="C252" s="1"/>
      <c r="D252" s="1">
        <v>5</v>
      </c>
      <c r="E252" s="1">
        <v>2</v>
      </c>
      <c r="F252" s="1">
        <v>2</v>
      </c>
      <c r="G252" s="1"/>
      <c r="H252" s="4" t="str">
        <f>'BID I'!B1272</f>
        <v>Belanja  Jasa Honorarium</v>
      </c>
      <c r="I252" s="1"/>
      <c r="J252" s="1"/>
      <c r="K252" s="91"/>
      <c r="L252" s="1"/>
    </row>
    <row r="253" spans="1:13" ht="30" x14ac:dyDescent="0.25">
      <c r="A253" s="1"/>
      <c r="B253" s="1"/>
      <c r="C253" s="1"/>
      <c r="D253" s="1"/>
      <c r="E253" s="1"/>
      <c r="F253" s="1"/>
      <c r="G253" s="1488" t="s">
        <v>2679</v>
      </c>
      <c r="H253" s="4" t="str">
        <f>'BID I'!B1273</f>
        <v>Belanja Jasa Honorarium Petugas</v>
      </c>
      <c r="I253" s="1"/>
      <c r="J253" s="1"/>
      <c r="K253" s="91">
        <f>'BID I'!F1274</f>
        <v>400000</v>
      </c>
      <c r="L253" s="1" t="s">
        <v>1409</v>
      </c>
    </row>
    <row r="254" spans="1:13" ht="45" x14ac:dyDescent="0.25">
      <c r="A254" s="1"/>
      <c r="B254" s="1"/>
      <c r="C254" s="1"/>
      <c r="D254" s="1">
        <v>5</v>
      </c>
      <c r="E254" s="1">
        <v>2</v>
      </c>
      <c r="F254" s="1">
        <v>7</v>
      </c>
      <c r="G254" s="1"/>
      <c r="H254" s="4" t="str">
        <f>'BID I'!B1276</f>
        <v>Belanja Barang Jasa yang diserahkan kepada masyarakat</v>
      </c>
      <c r="I254" s="1"/>
      <c r="J254" s="1"/>
      <c r="K254" s="91"/>
      <c r="L254" s="1"/>
    </row>
    <row r="255" spans="1:13" x14ac:dyDescent="0.25">
      <c r="A255" s="1"/>
      <c r="B255" s="1"/>
      <c r="C255" s="1"/>
      <c r="D255" s="1"/>
      <c r="E255" s="1"/>
      <c r="F255" s="1"/>
      <c r="G255" s="1">
        <v>91</v>
      </c>
      <c r="H255" s="4" t="str">
        <f>'BID I'!B1277</f>
        <v>Belanja Uang Saku</v>
      </c>
      <c r="I255" s="1"/>
      <c r="J255" s="1"/>
      <c r="K255" s="91">
        <f>'BID I'!F1278</f>
        <v>8000000</v>
      </c>
      <c r="L255" s="1" t="s">
        <v>1409</v>
      </c>
    </row>
    <row r="256" spans="1:13" ht="45" x14ac:dyDescent="0.25">
      <c r="A256" s="1027">
        <v>1</v>
      </c>
      <c r="B256" s="1027">
        <v>4</v>
      </c>
      <c r="C256" s="1491" t="s">
        <v>2696</v>
      </c>
      <c r="D256" s="1027"/>
      <c r="E256" s="1027"/>
      <c r="F256" s="1027"/>
      <c r="G256" s="1027"/>
      <c r="H256" s="1028" t="str">
        <f>'BID I'!B1294</f>
        <v>Penyusunan Dokumen Perencanaan Desa (RKP Desa 2026)</v>
      </c>
      <c r="I256" s="1027"/>
      <c r="J256" s="1027"/>
      <c r="K256" s="1492">
        <f>SUM(K257:K262)</f>
        <v>25930000</v>
      </c>
      <c r="L256" s="1027"/>
      <c r="M256" s="36">
        <f>'BID I'!F1320</f>
        <v>25930000</v>
      </c>
    </row>
    <row r="257" spans="1:13" x14ac:dyDescent="0.25">
      <c r="A257" s="1"/>
      <c r="B257" s="1"/>
      <c r="C257" s="1"/>
      <c r="D257" s="1">
        <v>5</v>
      </c>
      <c r="E257" s="1">
        <v>2</v>
      </c>
      <c r="F257" s="1"/>
      <c r="G257" s="1"/>
      <c r="H257" s="4" t="str">
        <f>'BID I'!B1300</f>
        <v>Belanja Barang Jasa</v>
      </c>
      <c r="I257" s="1"/>
      <c r="J257" s="1"/>
      <c r="K257" s="91"/>
      <c r="L257" s="1"/>
    </row>
    <row r="258" spans="1:13" ht="30" x14ac:dyDescent="0.25">
      <c r="A258" s="1"/>
      <c r="B258" s="1"/>
      <c r="C258" s="1"/>
      <c r="D258" s="1"/>
      <c r="E258" s="1"/>
      <c r="F258" s="1">
        <v>1</v>
      </c>
      <c r="G258" s="1"/>
      <c r="H258" s="4" t="str">
        <f>'BID I'!B1301</f>
        <v>Belanja Barang Perlengkapan</v>
      </c>
      <c r="I258" s="1"/>
      <c r="J258" s="1"/>
      <c r="K258" s="91"/>
      <c r="L258" s="1"/>
    </row>
    <row r="259" spans="1:13" ht="60" x14ac:dyDescent="0.25">
      <c r="A259" s="1"/>
      <c r="B259" s="1"/>
      <c r="C259" s="1"/>
      <c r="D259" s="1"/>
      <c r="E259" s="1"/>
      <c r="F259" s="1"/>
      <c r="G259" s="1488" t="s">
        <v>2699</v>
      </c>
      <c r="H259" s="4" t="str">
        <f>'BID I'!B1302</f>
        <v>Belanja perlengkapan cetak/pengadaan - belanja barang cetak dan pengadaan</v>
      </c>
      <c r="I259" s="1"/>
      <c r="J259" s="1"/>
      <c r="K259" s="91">
        <f>'BID I'!F1303</f>
        <v>1800000</v>
      </c>
      <c r="L259" s="1" t="s">
        <v>1409</v>
      </c>
    </row>
    <row r="260" spans="1:13" ht="60" x14ac:dyDescent="0.25">
      <c r="A260" s="1"/>
      <c r="B260" s="1"/>
      <c r="C260" s="1"/>
      <c r="D260" s="1"/>
      <c r="E260" s="1"/>
      <c r="F260" s="1"/>
      <c r="G260" s="1488" t="s">
        <v>2700</v>
      </c>
      <c r="H260" s="4" t="str">
        <f>'BID I'!B1305</f>
        <v>Belanja perlengkapan barang konsumsi (makan/minum)- Belanja Barang Konsumsi</v>
      </c>
      <c r="I260" s="1"/>
      <c r="J260" s="1"/>
      <c r="K260" s="91">
        <f>'BID I'!F1306</f>
        <v>1980000</v>
      </c>
      <c r="L260" s="1" t="s">
        <v>1409</v>
      </c>
    </row>
    <row r="261" spans="1:13" x14ac:dyDescent="0.25">
      <c r="A261" s="1"/>
      <c r="B261" s="1"/>
      <c r="C261" s="1"/>
      <c r="D261" s="1">
        <v>5</v>
      </c>
      <c r="E261" s="1">
        <v>2</v>
      </c>
      <c r="F261" s="1">
        <v>2</v>
      </c>
      <c r="G261" s="1"/>
      <c r="H261" s="4" t="str">
        <f>'BID I'!B1308</f>
        <v>Belanja Jasa Honorarium</v>
      </c>
      <c r="I261" s="1"/>
      <c r="J261" s="1"/>
      <c r="K261" s="91"/>
      <c r="L261" s="1"/>
    </row>
    <row r="262" spans="1:13" ht="45" x14ac:dyDescent="0.25">
      <c r="A262" s="1"/>
      <c r="B262" s="1"/>
      <c r="C262" s="1"/>
      <c r="D262" s="1"/>
      <c r="E262" s="1"/>
      <c r="F262" s="1"/>
      <c r="G262" s="1488" t="s">
        <v>2679</v>
      </c>
      <c r="H262" s="4" t="str">
        <f>'BID I'!B1309</f>
        <v>Belanja Jasa Honorarium Tim yang melaksanakan kegiatan</v>
      </c>
      <c r="I262" s="1"/>
      <c r="J262" s="1"/>
      <c r="K262" s="91">
        <f>SUM('BID I'!F1311:F1318)</f>
        <v>22150000</v>
      </c>
      <c r="L262" s="1" t="s">
        <v>1409</v>
      </c>
    </row>
    <row r="263" spans="1:13" ht="45" x14ac:dyDescent="0.25">
      <c r="A263" s="1027">
        <v>1</v>
      </c>
      <c r="B263" s="1027">
        <v>4</v>
      </c>
      <c r="C263" s="1491" t="s">
        <v>2696</v>
      </c>
      <c r="D263" s="1027"/>
      <c r="E263" s="1027"/>
      <c r="F263" s="1027"/>
      <c r="G263" s="1027"/>
      <c r="H263" s="1028" t="str">
        <f>'BID I'!B1333</f>
        <v>Penyusunan Dokumen Perencanaan Desa (RPJM Perubahan)</v>
      </c>
      <c r="I263" s="1027"/>
      <c r="J263" s="1027"/>
      <c r="K263" s="1492">
        <f>SUM(K264:K269)</f>
        <v>28770000</v>
      </c>
      <c r="L263" s="1027"/>
      <c r="M263" s="36">
        <f>'BID I'!F1354</f>
        <v>28770000</v>
      </c>
    </row>
    <row r="264" spans="1:13" x14ac:dyDescent="0.25">
      <c r="A264" s="1"/>
      <c r="B264" s="1"/>
      <c r="C264" s="1"/>
      <c r="D264" s="1">
        <v>5</v>
      </c>
      <c r="E264" s="1">
        <v>2</v>
      </c>
      <c r="F264" s="1"/>
      <c r="G264" s="1"/>
      <c r="H264" s="4" t="str">
        <f>'BID I'!B1339</f>
        <v>Belanja Barang Jasa</v>
      </c>
      <c r="I264" s="1"/>
      <c r="J264" s="1"/>
      <c r="K264" s="91"/>
      <c r="L264" s="1"/>
    </row>
    <row r="265" spans="1:13" ht="30" x14ac:dyDescent="0.25">
      <c r="A265" s="1"/>
      <c r="B265" s="1"/>
      <c r="C265" s="1"/>
      <c r="D265" s="1"/>
      <c r="E265" s="1"/>
      <c r="F265" s="1">
        <v>1</v>
      </c>
      <c r="G265" s="1"/>
      <c r="H265" s="4" t="str">
        <f>'BID I'!B1340</f>
        <v>Belanja Barang Perlengkapan</v>
      </c>
      <c r="I265" s="1"/>
      <c r="J265" s="1"/>
      <c r="K265" s="91"/>
      <c r="L265" s="1"/>
    </row>
    <row r="266" spans="1:13" ht="60" x14ac:dyDescent="0.25">
      <c r="A266" s="1"/>
      <c r="B266" s="1"/>
      <c r="C266" s="1"/>
      <c r="D266" s="1"/>
      <c r="E266" s="1"/>
      <c r="F266" s="1"/>
      <c r="G266" s="1488" t="s">
        <v>2699</v>
      </c>
      <c r="H266" s="4" t="str">
        <f>'BID I'!B1341</f>
        <v>Belanja perlengkapan cetak/pengadaan - belanja barang cetak dan pengadaan</v>
      </c>
      <c r="I266" s="1"/>
      <c r="J266" s="1"/>
      <c r="K266" s="91">
        <f>'BID I'!F1342+'BID I'!F1343</f>
        <v>1890000</v>
      </c>
      <c r="L266" s="4" t="s">
        <v>2573</v>
      </c>
    </row>
    <row r="267" spans="1:13" ht="60" x14ac:dyDescent="0.25">
      <c r="A267" s="1"/>
      <c r="B267" s="1"/>
      <c r="C267" s="1"/>
      <c r="D267" s="1"/>
      <c r="E267" s="1"/>
      <c r="F267" s="1"/>
      <c r="G267" s="1488" t="s">
        <v>2700</v>
      </c>
      <c r="H267" s="4" t="str">
        <f>'BID I'!B1344</f>
        <v>Belanja perlengkapan barang konsumsi (makan/minum)- Belanja Barang Konsumsi</v>
      </c>
      <c r="I267" s="1"/>
      <c r="J267" s="1"/>
      <c r="K267" s="91">
        <f>SUM('BID I'!F1345:F1346)</f>
        <v>11430000</v>
      </c>
      <c r="L267" s="4" t="s">
        <v>2573</v>
      </c>
    </row>
    <row r="268" spans="1:13" x14ac:dyDescent="0.25">
      <c r="A268" s="1"/>
      <c r="B268" s="1"/>
      <c r="C268" s="1"/>
      <c r="D268" s="1">
        <v>5</v>
      </c>
      <c r="E268" s="1">
        <v>2</v>
      </c>
      <c r="F268" s="1">
        <v>2</v>
      </c>
      <c r="G268" s="1"/>
      <c r="H268" s="4" t="str">
        <f>'BID I'!B1347</f>
        <v>Belanja Jasa Honorarium</v>
      </c>
      <c r="I268" s="1"/>
      <c r="J268" s="1"/>
      <c r="K268" s="91"/>
      <c r="L268" s="1"/>
    </row>
    <row r="269" spans="1:13" ht="45" x14ac:dyDescent="0.25">
      <c r="A269" s="1"/>
      <c r="B269" s="1"/>
      <c r="C269" s="1"/>
      <c r="D269" s="1"/>
      <c r="E269" s="1"/>
      <c r="F269" s="1"/>
      <c r="G269" s="1488" t="s">
        <v>2679</v>
      </c>
      <c r="H269" s="4" t="str">
        <f>'BID I'!B1348</f>
        <v>Belanja Jasa Honorarium Tim yang melaksanakan kegiatan</v>
      </c>
      <c r="I269" s="1"/>
      <c r="J269" s="1"/>
      <c r="K269" s="91">
        <f>SUM('BID I'!F1350:F1352)</f>
        <v>15450000</v>
      </c>
      <c r="L269" s="4" t="s">
        <v>2573</v>
      </c>
    </row>
    <row r="270" spans="1:13" ht="45" x14ac:dyDescent="0.25">
      <c r="A270" s="1027">
        <v>1</v>
      </c>
      <c r="B270" s="1027">
        <v>4</v>
      </c>
      <c r="C270" s="1491" t="s">
        <v>2697</v>
      </c>
      <c r="D270" s="1027"/>
      <c r="E270" s="1027"/>
      <c r="F270" s="1027"/>
      <c r="G270" s="1027"/>
      <c r="H270" s="1028" t="str">
        <f>'BID I'!B1369</f>
        <v>: Penyusunan dokumen keuangan Desa (APBDesa 2026 )</v>
      </c>
      <c r="I270" s="1027"/>
      <c r="J270" s="1027"/>
      <c r="K270" s="1492">
        <f>SUM(K271:K274)</f>
        <v>5175000</v>
      </c>
      <c r="L270" s="1027"/>
      <c r="M270" s="36">
        <f>'BID I'!F1384</f>
        <v>5175000</v>
      </c>
    </row>
    <row r="271" spans="1:13" x14ac:dyDescent="0.25">
      <c r="A271" s="1"/>
      <c r="B271" s="1"/>
      <c r="C271" s="1"/>
      <c r="D271" s="1">
        <v>5</v>
      </c>
      <c r="E271" s="1">
        <v>2</v>
      </c>
      <c r="F271" s="1"/>
      <c r="G271" s="1"/>
      <c r="H271" s="4" t="str">
        <f>'BID I'!B1375</f>
        <v>Belanja Barang Jasa :</v>
      </c>
      <c r="I271" s="1"/>
      <c r="J271" s="1"/>
      <c r="K271" s="91"/>
      <c r="L271" s="1"/>
    </row>
    <row r="272" spans="1:13" ht="30" x14ac:dyDescent="0.25">
      <c r="A272" s="1"/>
      <c r="B272" s="1"/>
      <c r="C272" s="1"/>
      <c r="D272" s="1"/>
      <c r="E272" s="1"/>
      <c r="F272" s="1">
        <v>1</v>
      </c>
      <c r="G272" s="1"/>
      <c r="H272" s="4" t="str">
        <f>'BID I'!B1376</f>
        <v>Belanja Barang Perlengkapan</v>
      </c>
      <c r="I272" s="1"/>
      <c r="J272" s="1"/>
      <c r="K272" s="91"/>
      <c r="L272" s="1"/>
    </row>
    <row r="273" spans="1:14" ht="60" x14ac:dyDescent="0.25">
      <c r="A273" s="1"/>
      <c r="B273" s="1"/>
      <c r="C273" s="1"/>
      <c r="D273" s="1"/>
      <c r="E273" s="1"/>
      <c r="F273" s="1"/>
      <c r="G273" s="1488" t="s">
        <v>2699</v>
      </c>
      <c r="H273" s="4" t="str">
        <f>'BID I'!B1377</f>
        <v>Belanja perlengkapan cetak/pengadaan - belanja barang cetak dan pengadaan</v>
      </c>
      <c r="I273" s="1"/>
      <c r="J273" s="1"/>
      <c r="K273" s="91">
        <f>SUM('BID I'!F1378:F1379)</f>
        <v>2475000</v>
      </c>
      <c r="L273" s="1" t="s">
        <v>1409</v>
      </c>
    </row>
    <row r="274" spans="1:14" ht="60" x14ac:dyDescent="0.25">
      <c r="A274" s="1"/>
      <c r="B274" s="1"/>
      <c r="C274" s="1"/>
      <c r="D274" s="1"/>
      <c r="E274" s="1"/>
      <c r="F274" s="1"/>
      <c r="G274" s="1488" t="s">
        <v>2700</v>
      </c>
      <c r="H274" s="4" t="str">
        <f>'BID I'!B1381</f>
        <v>Belanja Perlengkapan barang konsumsi (makan/minum) - Belanja barang konsumsi</v>
      </c>
      <c r="I274" s="1"/>
      <c r="J274" s="1"/>
      <c r="K274" s="91">
        <f>'BID I'!F1382</f>
        <v>2700000</v>
      </c>
      <c r="L274" s="1" t="s">
        <v>1409</v>
      </c>
    </row>
    <row r="275" spans="1:14" ht="45" x14ac:dyDescent="0.25">
      <c r="A275" s="1027">
        <v>1</v>
      </c>
      <c r="B275" s="1027">
        <v>4</v>
      </c>
      <c r="C275" s="1491" t="s">
        <v>2697</v>
      </c>
      <c r="D275" s="1027"/>
      <c r="E275" s="1027"/>
      <c r="F275" s="1027"/>
      <c r="G275" s="1027"/>
      <c r="H275" s="1028" t="str">
        <f>'BID I'!B1400</f>
        <v>: Penyusunan dokumen keuangan Desa (APBDesa Perubahan 2025)</v>
      </c>
      <c r="I275" s="1027"/>
      <c r="J275" s="1027"/>
      <c r="K275" s="1492">
        <f>SUM(K276:K279)</f>
        <v>4805000</v>
      </c>
      <c r="L275" s="1027"/>
      <c r="M275" s="36">
        <f>'BID I'!F1415</f>
        <v>4805000</v>
      </c>
    </row>
    <row r="276" spans="1:14" x14ac:dyDescent="0.25">
      <c r="A276" s="1"/>
      <c r="B276" s="1"/>
      <c r="C276" s="1"/>
      <c r="D276" s="1">
        <v>5</v>
      </c>
      <c r="E276" s="1">
        <v>2</v>
      </c>
      <c r="F276" s="1"/>
      <c r="G276" s="1"/>
      <c r="H276" s="4" t="str">
        <f>'BID I'!B1406</f>
        <v>Belanja Barang Jasa :</v>
      </c>
      <c r="I276" s="1"/>
      <c r="J276" s="1"/>
      <c r="K276" s="91"/>
      <c r="L276" s="1"/>
    </row>
    <row r="277" spans="1:14" ht="30" x14ac:dyDescent="0.25">
      <c r="A277" s="1"/>
      <c r="B277" s="1"/>
      <c r="C277" s="1"/>
      <c r="D277" s="1"/>
      <c r="E277" s="1"/>
      <c r="F277" s="1">
        <v>1</v>
      </c>
      <c r="G277" s="1"/>
      <c r="H277" s="4" t="str">
        <f>'BID I'!B1407</f>
        <v>Belanja Barang Perlengkapan</v>
      </c>
      <c r="I277" s="1"/>
      <c r="J277" s="1"/>
      <c r="K277" s="91"/>
      <c r="L277" s="1"/>
    </row>
    <row r="278" spans="1:14" ht="60" x14ac:dyDescent="0.25">
      <c r="A278" s="1"/>
      <c r="B278" s="1"/>
      <c r="C278" s="1"/>
      <c r="D278" s="1"/>
      <c r="E278" s="1"/>
      <c r="F278" s="1"/>
      <c r="G278" s="1488" t="s">
        <v>2699</v>
      </c>
      <c r="H278" s="4" t="str">
        <f>'BID I'!B1408</f>
        <v>Belanja perlengkapan cetak/pengadaan - belanja barang cetak dan pengadaan</v>
      </c>
      <c r="I278" s="1"/>
      <c r="J278" s="1"/>
      <c r="K278" s="91">
        <f>SUM('BID I'!F1409:F1410)</f>
        <v>3725000</v>
      </c>
      <c r="L278" s="1" t="s">
        <v>1409</v>
      </c>
    </row>
    <row r="279" spans="1:14" ht="60" x14ac:dyDescent="0.25">
      <c r="A279" s="1"/>
      <c r="B279" s="1"/>
      <c r="C279" s="1"/>
      <c r="D279" s="1"/>
      <c r="E279" s="1"/>
      <c r="F279" s="1"/>
      <c r="G279" s="1488" t="s">
        <v>2700</v>
      </c>
      <c r="H279" s="4" t="str">
        <f>'BID I'!B1412</f>
        <v>Belanja Perlengkapan barang konsumsi (makan/minum) - Belanja barang konsumsi</v>
      </c>
      <c r="I279" s="1"/>
      <c r="J279" s="1"/>
      <c r="K279" s="91">
        <f>'BID I'!F1413</f>
        <v>1080000</v>
      </c>
      <c r="L279" s="1" t="s">
        <v>1409</v>
      </c>
    </row>
    <row r="280" spans="1:14" ht="45" x14ac:dyDescent="0.25">
      <c r="A280" s="1027">
        <v>1</v>
      </c>
      <c r="B280" s="1027">
        <v>4</v>
      </c>
      <c r="C280" s="1491" t="s">
        <v>2697</v>
      </c>
      <c r="D280" s="1027"/>
      <c r="E280" s="1027"/>
      <c r="F280" s="1027"/>
      <c r="G280" s="1027"/>
      <c r="H280" s="1028" t="str">
        <f>'BID I'!B1430</f>
        <v>: Penyusunan dokumen keuangan Desa ( LPJ APBDesa 2024)</v>
      </c>
      <c r="I280" s="1027"/>
      <c r="J280" s="1027"/>
      <c r="K280" s="1492">
        <f>K283</f>
        <v>1575000</v>
      </c>
      <c r="L280" s="1027"/>
      <c r="M280" s="32">
        <f>'BID I'!F1442</f>
        <v>1575000</v>
      </c>
    </row>
    <row r="281" spans="1:14" x14ac:dyDescent="0.25">
      <c r="A281" s="1"/>
      <c r="B281" s="1"/>
      <c r="C281" s="1"/>
      <c r="D281" s="1">
        <v>5</v>
      </c>
      <c r="E281" s="1">
        <v>2</v>
      </c>
      <c r="F281" s="1"/>
      <c r="G281" s="1"/>
      <c r="H281" s="4" t="str">
        <f>'BID I'!B1436</f>
        <v>Belanja Barang Jasa :</v>
      </c>
      <c r="I281" s="1"/>
      <c r="J281" s="1"/>
      <c r="K281" s="91"/>
      <c r="L281" s="1"/>
    </row>
    <row r="282" spans="1:14" ht="30" x14ac:dyDescent="0.25">
      <c r="A282" s="1"/>
      <c r="B282" s="1"/>
      <c r="C282" s="1"/>
      <c r="D282" s="1"/>
      <c r="E282" s="1"/>
      <c r="F282" s="1">
        <v>1</v>
      </c>
      <c r="G282" s="1"/>
      <c r="H282" s="4" t="str">
        <f>'BID I'!B1437</f>
        <v>Belanja Barang Perlengkapan</v>
      </c>
      <c r="I282" s="1"/>
      <c r="J282" s="1"/>
      <c r="K282" s="91"/>
      <c r="L282" s="1"/>
    </row>
    <row r="283" spans="1:14" ht="60" x14ac:dyDescent="0.25">
      <c r="A283" s="1"/>
      <c r="B283" s="1"/>
      <c r="C283" s="1"/>
      <c r="D283" s="1"/>
      <c r="E283" s="1"/>
      <c r="F283" s="1"/>
      <c r="G283" s="1488" t="s">
        <v>2699</v>
      </c>
      <c r="H283" s="4" t="str">
        <f>'BID I'!B1438</f>
        <v>Belanja perlengkapan cetak/pengadaan - belanja barang cetak dan pengadaan</v>
      </c>
      <c r="I283" s="1"/>
      <c r="J283" s="1"/>
      <c r="K283" s="91">
        <f>'BID I'!F1439+'BID I'!F1440</f>
        <v>1575000</v>
      </c>
      <c r="L283" s="4" t="s">
        <v>2570</v>
      </c>
    </row>
    <row r="284" spans="1:14" ht="90" x14ac:dyDescent="0.25">
      <c r="A284" s="1027">
        <v>1</v>
      </c>
      <c r="B284" s="1027">
        <v>4</v>
      </c>
      <c r="C284" s="1491" t="s">
        <v>2697</v>
      </c>
      <c r="D284" s="1027"/>
      <c r="E284" s="1027"/>
      <c r="F284" s="1027"/>
      <c r="G284" s="1027"/>
      <c r="H284" s="1028" t="str">
        <f>'BID I'!B1458</f>
        <v>: Penyusunan laporan Kepala Desa/ Penyelenggaraan Pemerintah Desa (Laporan akhir tahun anggaran )</v>
      </c>
      <c r="I284" s="1027"/>
      <c r="J284" s="1027"/>
      <c r="K284" s="1492">
        <f>SUM(K285:K287)</f>
        <v>1500000</v>
      </c>
      <c r="L284" s="1027"/>
      <c r="M284" s="36">
        <f>'BID I'!F1470</f>
        <v>1500000</v>
      </c>
    </row>
    <row r="285" spans="1:14" x14ac:dyDescent="0.25">
      <c r="A285" s="1"/>
      <c r="B285" s="1"/>
      <c r="C285" s="1"/>
      <c r="D285" s="1">
        <v>5</v>
      </c>
      <c r="E285" s="1">
        <v>2</v>
      </c>
      <c r="F285" s="1"/>
      <c r="G285" s="1"/>
      <c r="H285" s="4" t="str">
        <f>'BID I'!B1464</f>
        <v>Belanja Barang Jasa :</v>
      </c>
      <c r="I285" s="1"/>
      <c r="J285" s="1"/>
      <c r="K285" s="91"/>
      <c r="L285" s="1"/>
    </row>
    <row r="286" spans="1:14" ht="30" x14ac:dyDescent="0.25">
      <c r="A286" s="1"/>
      <c r="B286" s="1"/>
      <c r="C286" s="1"/>
      <c r="D286" s="1"/>
      <c r="E286" s="1"/>
      <c r="F286" s="1">
        <v>1</v>
      </c>
      <c r="G286" s="1"/>
      <c r="H286" s="4" t="str">
        <f>'BID I'!B1465</f>
        <v>Belanja Barang Perlengkapan</v>
      </c>
      <c r="I286" s="1"/>
      <c r="J286" s="1"/>
      <c r="K286" s="91"/>
      <c r="L286" s="1"/>
    </row>
    <row r="287" spans="1:14" ht="60" x14ac:dyDescent="0.25">
      <c r="A287" s="1"/>
      <c r="B287" s="1"/>
      <c r="C287" s="1"/>
      <c r="D287" s="1"/>
      <c r="E287" s="1"/>
      <c r="F287" s="1"/>
      <c r="G287" s="1488" t="s">
        <v>2699</v>
      </c>
      <c r="H287" s="4" t="str">
        <f>'BID I'!B1466</f>
        <v>Belanja perlengkapan cetak/pengadaan - belanja barang cetak dan pengadaan</v>
      </c>
      <c r="I287" s="1"/>
      <c r="J287" s="1"/>
      <c r="K287" s="91">
        <f>SUM('BID I'!F1467:F1467)</f>
        <v>1500000</v>
      </c>
      <c r="L287" s="4" t="s">
        <v>2570</v>
      </c>
    </row>
    <row r="288" spans="1:14" ht="30" x14ac:dyDescent="0.25">
      <c r="A288" s="1489">
        <v>2</v>
      </c>
      <c r="B288" s="1489"/>
      <c r="C288" s="1489"/>
      <c r="D288" s="1489"/>
      <c r="E288" s="1489"/>
      <c r="F288" s="1489"/>
      <c r="G288" s="1489"/>
      <c r="H288" s="1490" t="str">
        <f>'BID II'!B5</f>
        <v>Pelaksanaan Pembangunan Desa</v>
      </c>
      <c r="I288" s="1489"/>
      <c r="J288" s="1489"/>
      <c r="K288" s="1495" t="e">
        <f>K290+K316+K324+K330+K337+K347+K355+K370+K379+K387+K398+K407+K418+K429+K440+K446+K462+K471+K479+K487+K495+K504+K512+K521+K529+K537+K544+K554+K568+K575+K583+K591+K596+K602+K608+K613+K619+K625+K630+K637+K643+K649+K655+K661+K666+K672+K678+K683+K688+K694+K700+K706+K712+K719+K725+K731+K737+K743+K749+K754+K760+K773+K799+K809+K816+K825+K791</f>
        <v>#REF!</v>
      </c>
      <c r="L288" s="1489"/>
      <c r="M288" s="83">
        <f>Htungan!Y9</f>
        <v>3749461692.0700002</v>
      </c>
      <c r="N288" s="32" t="e">
        <f>K288-M288</f>
        <v>#REF!</v>
      </c>
    </row>
    <row r="289" spans="1:13" x14ac:dyDescent="0.25">
      <c r="A289" s="1027">
        <v>2</v>
      </c>
      <c r="B289" s="1027">
        <v>1</v>
      </c>
      <c r="C289" s="1027"/>
      <c r="D289" s="1027"/>
      <c r="E289" s="1027"/>
      <c r="F289" s="1027"/>
      <c r="G289" s="1027"/>
      <c r="H289" s="1028" t="str">
        <f>'BID II'!B6</f>
        <v>Pendidikan</v>
      </c>
      <c r="I289" s="1027"/>
      <c r="J289" s="1027"/>
      <c r="K289" s="1492"/>
      <c r="L289" s="1027"/>
      <c r="M289" s="32"/>
    </row>
    <row r="290" spans="1:13" ht="90" x14ac:dyDescent="0.25">
      <c r="A290" s="1027">
        <v>2</v>
      </c>
      <c r="B290" s="1027">
        <v>1</v>
      </c>
      <c r="C290" s="1491" t="s">
        <v>2679</v>
      </c>
      <c r="D290" s="1027"/>
      <c r="E290" s="1027"/>
      <c r="F290" s="1027"/>
      <c r="G290" s="1027"/>
      <c r="H290" s="1028" t="str">
        <f>'BID II'!B7</f>
        <v>Penyelenggaraan PAUD/TK/TKA/ Madrasah Non Formal Milik Desa (Pengelolaan Taman Kanak - kanak  TK Kumara Sari VI )</v>
      </c>
      <c r="I290" s="1027"/>
      <c r="J290" s="1027"/>
      <c r="K290" s="1492">
        <f>SUM(K291:K315)</f>
        <v>345561246.18000001</v>
      </c>
      <c r="L290" s="1027"/>
      <c r="M290" s="83">
        <f>'BID II'!F157</f>
        <v>345561246.18000001</v>
      </c>
    </row>
    <row r="291" spans="1:13" x14ac:dyDescent="0.25">
      <c r="A291" s="1"/>
      <c r="B291" s="1"/>
      <c r="C291" s="1"/>
      <c r="D291" s="1">
        <v>5</v>
      </c>
      <c r="E291" s="1">
        <v>2</v>
      </c>
      <c r="F291" s="1"/>
      <c r="G291" s="1"/>
      <c r="H291" s="4" t="str">
        <f>'BID II'!B12</f>
        <v>Belanja Barang Jasa :</v>
      </c>
      <c r="I291" s="1"/>
      <c r="J291" s="1"/>
      <c r="K291" s="91"/>
      <c r="L291" s="1"/>
    </row>
    <row r="292" spans="1:13" ht="30" x14ac:dyDescent="0.25">
      <c r="A292" s="1"/>
      <c r="B292" s="1"/>
      <c r="C292" s="1"/>
      <c r="D292" s="1"/>
      <c r="E292" s="1"/>
      <c r="F292" s="1">
        <v>1</v>
      </c>
      <c r="G292" s="1"/>
      <c r="H292" s="4" t="str">
        <f>'BID II'!B13</f>
        <v>Belanja Barang Perlengkapan</v>
      </c>
      <c r="I292" s="1"/>
      <c r="J292" s="1"/>
      <c r="K292" s="91"/>
      <c r="L292" s="1"/>
    </row>
    <row r="293" spans="1:13" ht="45" x14ac:dyDescent="0.25">
      <c r="A293" s="1"/>
      <c r="B293" s="1"/>
      <c r="C293" s="1"/>
      <c r="D293" s="1"/>
      <c r="E293" s="1"/>
      <c r="F293" s="1"/>
      <c r="G293" s="1488" t="s">
        <v>2679</v>
      </c>
      <c r="H293" s="4" t="str">
        <f>'BID II'!B14</f>
        <v>Belanja perlengkapan alat tulis kantor dan Benda Pos</v>
      </c>
      <c r="I293" s="1"/>
      <c r="J293" s="1"/>
      <c r="K293" s="91">
        <f>SUM('BID II'!F16:F67)</f>
        <v>71852183</v>
      </c>
      <c r="L293" s="1" t="s">
        <v>1711</v>
      </c>
    </row>
    <row r="294" spans="1:13" ht="45" x14ac:dyDescent="0.25">
      <c r="A294" s="1"/>
      <c r="B294" s="1"/>
      <c r="C294" s="1"/>
      <c r="D294" s="1"/>
      <c r="E294" s="1"/>
      <c r="F294" s="1"/>
      <c r="G294" s="1488" t="s">
        <v>2694</v>
      </c>
      <c r="H294" s="4" t="str">
        <f>'BID II'!B68</f>
        <v xml:space="preserve">Belanja Perlengkapan Alat Listrik </v>
      </c>
      <c r="I294" s="1"/>
      <c r="J294" s="1"/>
      <c r="K294" s="91">
        <f>'BID II'!F69</f>
        <v>2080000</v>
      </c>
      <c r="L294" s="4" t="s">
        <v>2568</v>
      </c>
    </row>
    <row r="295" spans="1:13" ht="60" x14ac:dyDescent="0.25">
      <c r="A295" s="1"/>
      <c r="B295" s="1"/>
      <c r="C295" s="1"/>
      <c r="D295" s="1"/>
      <c r="E295" s="1"/>
      <c r="F295" s="1"/>
      <c r="G295" s="1488" t="s">
        <v>2696</v>
      </c>
      <c r="H295" s="1123" t="str">
        <f>'BID II'!B71</f>
        <v xml:space="preserve">Belanja perlengkapan alat alat rumah tangga/peralatan dan Bahan kebersihan </v>
      </c>
      <c r="I295" s="1"/>
      <c r="J295" s="1"/>
      <c r="K295" s="91">
        <f>SUM('BID II'!F72:F92)</f>
        <v>4206800</v>
      </c>
      <c r="L295" s="4" t="s">
        <v>2568</v>
      </c>
    </row>
    <row r="296" spans="1:13" ht="60" x14ac:dyDescent="0.25">
      <c r="A296" s="1"/>
      <c r="B296" s="1"/>
      <c r="C296" s="1"/>
      <c r="D296" s="1"/>
      <c r="E296" s="1"/>
      <c r="F296" s="1"/>
      <c r="G296" s="1488" t="s">
        <v>2700</v>
      </c>
      <c r="H296" s="4" t="str">
        <f>'BID II'!B93</f>
        <v>Belanja perlengkapan barang konsumsi (makan/ minum) Belanja Barang konsumsi</v>
      </c>
      <c r="I296" s="1"/>
      <c r="J296" s="1"/>
      <c r="K296" s="91">
        <f>'BID II'!F94</f>
        <v>180000</v>
      </c>
      <c r="L296" s="4" t="s">
        <v>2568</v>
      </c>
    </row>
    <row r="297" spans="1:13" ht="30" x14ac:dyDescent="0.25">
      <c r="A297" s="1"/>
      <c r="B297" s="1"/>
      <c r="C297" s="1"/>
      <c r="D297" s="1"/>
      <c r="E297" s="1"/>
      <c r="F297" s="1"/>
      <c r="G297" s="1488" t="s">
        <v>2701</v>
      </c>
      <c r="H297" s="1" t="str">
        <f>'BID II'!B96</f>
        <v>Belanja Bahan / Material</v>
      </c>
      <c r="I297" s="1"/>
      <c r="J297" s="1"/>
      <c r="K297" s="91">
        <f>'BID II'!F97+'BID II'!F98</f>
        <v>4250000</v>
      </c>
      <c r="L297" s="4" t="s">
        <v>2569</v>
      </c>
    </row>
    <row r="298" spans="1:13" ht="45" x14ac:dyDescent="0.25">
      <c r="A298" s="1"/>
      <c r="B298" s="1"/>
      <c r="C298" s="1"/>
      <c r="D298" s="1"/>
      <c r="E298" s="1"/>
      <c r="F298" s="1"/>
      <c r="G298" s="1488" t="s">
        <v>2702</v>
      </c>
      <c r="H298" s="4" t="str">
        <f>'BID II'!B100</f>
        <v>Belanja bendera/ umbul umbul/ spanduk</v>
      </c>
      <c r="I298" s="1"/>
      <c r="J298" s="1"/>
      <c r="K298" s="91">
        <f>'BID II'!F101</f>
        <v>300000</v>
      </c>
      <c r="L298" s="4" t="s">
        <v>2568</v>
      </c>
    </row>
    <row r="299" spans="1:13" ht="45" x14ac:dyDescent="0.25">
      <c r="A299" s="1"/>
      <c r="B299" s="1"/>
      <c r="C299" s="1"/>
      <c r="D299" s="1"/>
      <c r="E299" s="1"/>
      <c r="F299" s="1"/>
      <c r="G299" s="1488" t="s">
        <v>2703</v>
      </c>
      <c r="H299" s="4" t="str">
        <f>'BID II'!B103</f>
        <v>Belanja Pakaian Dinas/ Seragam/ Atribut</v>
      </c>
      <c r="I299" s="1"/>
      <c r="J299" s="1"/>
      <c r="K299" s="91">
        <f>'BID II'!F104</f>
        <v>3750000</v>
      </c>
      <c r="L299" s="4" t="s">
        <v>2568</v>
      </c>
    </row>
    <row r="300" spans="1:13" ht="30" x14ac:dyDescent="0.25">
      <c r="A300" s="1"/>
      <c r="B300" s="1"/>
      <c r="C300" s="1"/>
      <c r="D300" s="1"/>
      <c r="E300" s="1"/>
      <c r="F300" s="1"/>
      <c r="G300" s="1">
        <v>90</v>
      </c>
      <c r="H300" s="4" t="str">
        <f>'BID II'!B106</f>
        <v>Belanja Upakara, Upacara Dan Aci</v>
      </c>
      <c r="I300" s="1"/>
      <c r="J300" s="1"/>
      <c r="K300" s="91">
        <f>SUM('BID II'!F107:F117)</f>
        <v>15228713.18</v>
      </c>
      <c r="L300" s="4" t="s">
        <v>2572</v>
      </c>
    </row>
    <row r="301" spans="1:13" x14ac:dyDescent="0.25">
      <c r="A301" s="1"/>
      <c r="B301" s="1"/>
      <c r="C301" s="1"/>
      <c r="D301" s="1">
        <v>5</v>
      </c>
      <c r="E301" s="1">
        <v>2</v>
      </c>
      <c r="F301" s="1">
        <v>2</v>
      </c>
      <c r="G301" s="1"/>
      <c r="H301" s="4" t="str">
        <f>'BID II'!B119</f>
        <v>Belanja jasa honorarium</v>
      </c>
      <c r="I301" s="1"/>
      <c r="J301" s="1"/>
      <c r="K301" s="91"/>
      <c r="L301" s="1"/>
    </row>
    <row r="302" spans="1:13" ht="45" x14ac:dyDescent="0.25">
      <c r="A302" s="1"/>
      <c r="B302" s="1"/>
      <c r="C302" s="1"/>
      <c r="D302" s="1"/>
      <c r="E302" s="1"/>
      <c r="F302" s="1"/>
      <c r="G302" s="1488" t="s">
        <v>2697</v>
      </c>
      <c r="H302" s="4" t="str">
        <f>'BID II'!B120</f>
        <v>Belanja jasa honorarium Ahli/Profesi/Konsultan/Narasumber</v>
      </c>
      <c r="I302" s="1"/>
      <c r="J302" s="1"/>
      <c r="K302" s="91">
        <f>SUM('BID II'!F121:F127)</f>
        <v>137400000</v>
      </c>
      <c r="L302" s="4" t="s">
        <v>2573</v>
      </c>
    </row>
    <row r="303" spans="1:13" ht="45" x14ac:dyDescent="0.25">
      <c r="A303" s="1"/>
      <c r="B303" s="1"/>
      <c r="C303" s="1"/>
      <c r="D303" s="1"/>
      <c r="E303" s="1"/>
      <c r="F303" s="1"/>
      <c r="G303" s="1488" t="s">
        <v>2697</v>
      </c>
      <c r="H303" s="4" t="str">
        <f>'BID II'!B120</f>
        <v>Belanja jasa honorarium Ahli/Profesi/Konsultan/Narasumber</v>
      </c>
      <c r="I303" s="1"/>
      <c r="J303" s="1"/>
      <c r="K303" s="91">
        <f>'BID II'!F129+'BID II'!F130</f>
        <v>5400000</v>
      </c>
      <c r="L303" s="4" t="s">
        <v>2568</v>
      </c>
    </row>
    <row r="304" spans="1:13" ht="30" x14ac:dyDescent="0.25">
      <c r="A304" s="1"/>
      <c r="B304" s="1"/>
      <c r="C304" s="1"/>
      <c r="D304" s="1">
        <v>5</v>
      </c>
      <c r="E304" s="1">
        <v>2</v>
      </c>
      <c r="F304" s="1">
        <v>5</v>
      </c>
      <c r="G304" s="1"/>
      <c r="H304" s="4" t="str">
        <f>'BID II'!B132</f>
        <v>Belanja Operasional perkantoran</v>
      </c>
      <c r="I304" s="1"/>
      <c r="J304" s="1"/>
      <c r="K304" s="91"/>
      <c r="L304" s="1"/>
    </row>
    <row r="305" spans="1:13" ht="30" x14ac:dyDescent="0.25">
      <c r="A305" s="1"/>
      <c r="B305" s="1"/>
      <c r="C305" s="1"/>
      <c r="D305" s="1"/>
      <c r="E305" s="1"/>
      <c r="F305" s="1"/>
      <c r="G305" s="1488" t="s">
        <v>2679</v>
      </c>
      <c r="H305" s="4" t="str">
        <f>'BID II'!B133</f>
        <v xml:space="preserve">Belanja jasa Langganan listrik </v>
      </c>
      <c r="I305" s="1"/>
      <c r="J305" s="1"/>
      <c r="K305" s="91">
        <f>'BID II'!F133</f>
        <v>12000000</v>
      </c>
      <c r="L305" s="213" t="s">
        <v>2572</v>
      </c>
    </row>
    <row r="306" spans="1:13" ht="24.75" x14ac:dyDescent="0.25">
      <c r="A306" s="1"/>
      <c r="B306" s="1"/>
      <c r="C306" s="1"/>
      <c r="D306" s="1"/>
      <c r="E306" s="1"/>
      <c r="F306" s="1"/>
      <c r="G306" s="1488" t="s">
        <v>2694</v>
      </c>
      <c r="H306" s="4" t="str">
        <f>'BID II'!B134</f>
        <v>Belanja jasa langganan Air</v>
      </c>
      <c r="I306" s="1"/>
      <c r="J306" s="1"/>
      <c r="K306" s="91">
        <f>'BID II'!F134</f>
        <v>3000000</v>
      </c>
      <c r="L306" s="213" t="s">
        <v>2572</v>
      </c>
    </row>
    <row r="307" spans="1:13" ht="30" x14ac:dyDescent="0.25">
      <c r="A307" s="1"/>
      <c r="B307" s="1"/>
      <c r="C307" s="1"/>
      <c r="D307" s="1"/>
      <c r="E307" s="1"/>
      <c r="F307" s="1"/>
      <c r="G307" s="1488" t="s">
        <v>2699</v>
      </c>
      <c r="H307" s="4" t="str">
        <f>'BID II'!B135</f>
        <v>Belanja jasa langganan internet</v>
      </c>
      <c r="I307" s="1"/>
      <c r="J307" s="1"/>
      <c r="K307" s="91">
        <f>'BID II'!F135</f>
        <v>3600000</v>
      </c>
      <c r="L307" s="213" t="s">
        <v>1417</v>
      </c>
    </row>
    <row r="308" spans="1:13" x14ac:dyDescent="0.25">
      <c r="A308" s="1"/>
      <c r="B308" s="1"/>
      <c r="C308" s="1"/>
      <c r="D308" s="1">
        <v>5</v>
      </c>
      <c r="E308" s="1">
        <v>2</v>
      </c>
      <c r="F308" s="1">
        <v>6</v>
      </c>
      <c r="G308" s="1"/>
      <c r="H308" s="4" t="str">
        <f>'BID II'!B136</f>
        <v>Belanja Pemeliharaan</v>
      </c>
      <c r="I308" s="1"/>
      <c r="J308" s="1"/>
      <c r="K308" s="91"/>
      <c r="L308" s="1"/>
    </row>
    <row r="309" spans="1:13" ht="30" x14ac:dyDescent="0.25">
      <c r="A309" s="1"/>
      <c r="B309" s="1"/>
      <c r="C309" s="1"/>
      <c r="D309" s="1"/>
      <c r="E309" s="1"/>
      <c r="F309" s="1"/>
      <c r="G309" s="1488" t="s">
        <v>2696</v>
      </c>
      <c r="H309" s="1" t="str">
        <f>'BID II'!B137</f>
        <v>Pemeliharaan Peralatan</v>
      </c>
      <c r="I309" s="1"/>
      <c r="J309" s="1"/>
      <c r="K309" s="91">
        <f>'BID II'!F138</f>
        <v>4200000</v>
      </c>
      <c r="L309" s="4" t="s">
        <v>2570</v>
      </c>
    </row>
    <row r="310" spans="1:13" ht="45" x14ac:dyDescent="0.25">
      <c r="A310" s="1"/>
      <c r="B310" s="1"/>
      <c r="C310" s="1"/>
      <c r="D310" s="1"/>
      <c r="E310" s="1"/>
      <c r="F310" s="1"/>
      <c r="G310" s="1488" t="s">
        <v>2700</v>
      </c>
      <c r="H310" s="1" t="str">
        <f>'BID II'!B139</f>
        <v>Pemeliharaan Bangunan</v>
      </c>
      <c r="I310" s="1"/>
      <c r="J310" s="1"/>
      <c r="K310" s="91">
        <f>'BID II'!F140</f>
        <v>5000000</v>
      </c>
      <c r="L310" s="4" t="s">
        <v>2568</v>
      </c>
    </row>
    <row r="311" spans="1:13" x14ac:dyDescent="0.25">
      <c r="A311" s="1"/>
      <c r="B311" s="1"/>
      <c r="C311" s="1"/>
      <c r="D311" s="1">
        <v>5</v>
      </c>
      <c r="E311" s="1">
        <v>3</v>
      </c>
      <c r="F311" s="1"/>
      <c r="G311" s="1"/>
      <c r="H311" s="4" t="str">
        <f>'BID II'!B141</f>
        <v>Belanja Modal</v>
      </c>
      <c r="I311" s="1"/>
      <c r="J311" s="1"/>
      <c r="K311" s="91"/>
      <c r="L311" s="1"/>
    </row>
    <row r="312" spans="1:13" x14ac:dyDescent="0.25">
      <c r="A312" s="1"/>
      <c r="B312" s="1"/>
      <c r="C312" s="1"/>
      <c r="D312" s="1"/>
      <c r="E312" s="1"/>
      <c r="F312" s="1">
        <v>2</v>
      </c>
      <c r="G312" s="1"/>
      <c r="H312" s="4" t="str">
        <f>'BID II'!B142</f>
        <v>Belanja Modal Peralatan</v>
      </c>
      <c r="I312" s="1"/>
      <c r="J312" s="1"/>
      <c r="K312" s="91"/>
      <c r="L312" s="1"/>
    </row>
    <row r="313" spans="1:13" ht="45" x14ac:dyDescent="0.25">
      <c r="A313" s="1"/>
      <c r="B313" s="1"/>
      <c r="C313" s="1"/>
      <c r="D313" s="1"/>
      <c r="E313" s="1"/>
      <c r="F313" s="1"/>
      <c r="G313" s="1488" t="s">
        <v>2696</v>
      </c>
      <c r="H313" s="4" t="str">
        <f>'BID II'!B143</f>
        <v>Belanja Modal Peralatan Elektronik dan Alat Studio</v>
      </c>
      <c r="I313" s="1"/>
      <c r="J313" s="1"/>
      <c r="K313" s="91">
        <f>'BID II'!F144</f>
        <v>2250000</v>
      </c>
      <c r="L313" s="4" t="s">
        <v>2568</v>
      </c>
    </row>
    <row r="314" spans="1:13" ht="45" x14ac:dyDescent="0.25">
      <c r="A314" s="1"/>
      <c r="B314" s="1"/>
      <c r="C314" s="1"/>
      <c r="D314" s="1"/>
      <c r="E314" s="1"/>
      <c r="F314" s="1"/>
      <c r="G314" s="1488" t="s">
        <v>2697</v>
      </c>
      <c r="H314" s="4" t="str">
        <f>'BID II'!B145</f>
        <v>Belanja Modal Peralatan Mebeulair dan Aksesori Ruangan</v>
      </c>
      <c r="I314" s="1"/>
      <c r="J314" s="1"/>
      <c r="K314" s="91">
        <f>SUM('BID II'!F146:F153)</f>
        <v>70863550</v>
      </c>
      <c r="L314" s="4" t="s">
        <v>2567</v>
      </c>
    </row>
    <row r="315" spans="1:13" ht="45" x14ac:dyDescent="0.25">
      <c r="A315" s="1"/>
      <c r="B315" s="1"/>
      <c r="C315" s="1"/>
      <c r="D315" s="1"/>
      <c r="E315" s="1"/>
      <c r="F315" s="1"/>
      <c r="G315" s="1488" t="s">
        <v>2697</v>
      </c>
      <c r="H315" s="4" t="str">
        <f>'BID II'!B145</f>
        <v>Belanja Modal Peralatan Mebeulair dan Aksesori Ruangan</v>
      </c>
      <c r="I315" s="1"/>
      <c r="J315" s="1"/>
      <c r="K315" s="91">
        <f>'BID II'!F154</f>
        <v>0</v>
      </c>
      <c r="L315" s="1" t="s">
        <v>1711</v>
      </c>
    </row>
    <row r="316" spans="1:13" ht="90" x14ac:dyDescent="0.25">
      <c r="A316" s="1027">
        <v>2</v>
      </c>
      <c r="B316" s="1027">
        <v>1</v>
      </c>
      <c r="C316" s="1491" t="s">
        <v>2696</v>
      </c>
      <c r="D316" s="1027"/>
      <c r="E316" s="1027"/>
      <c r="F316" s="1027"/>
      <c r="G316" s="1027"/>
      <c r="H316" s="1028" t="str">
        <f>'BID II'!B170</f>
        <v>: Pembinaan atau Pelatihan Kelompok Belajar Widya Kumara Bhuwana ( Pelatihan Bahasa dan Aksara Bali Untuk Anak-Anak SD )</v>
      </c>
      <c r="I316" s="1027"/>
      <c r="J316" s="1027"/>
      <c r="K316" s="1492">
        <f>SUM(K317:K323)</f>
        <v>11881687.09</v>
      </c>
      <c r="L316" s="1027"/>
      <c r="M316" s="32">
        <f>'BID II'!F195</f>
        <v>14608687.09</v>
      </c>
    </row>
    <row r="317" spans="1:13" x14ac:dyDescent="0.25">
      <c r="A317" s="1"/>
      <c r="B317" s="1"/>
      <c r="C317" s="1"/>
      <c r="D317" s="1">
        <v>5</v>
      </c>
      <c r="E317" s="1">
        <v>2</v>
      </c>
      <c r="F317" s="1"/>
      <c r="G317" s="1"/>
      <c r="H317" s="4" t="str">
        <f>'BID II'!B177</f>
        <v>Belanja Barang Jasa</v>
      </c>
      <c r="I317" s="1"/>
      <c r="J317" s="1"/>
      <c r="K317" s="91"/>
      <c r="L317" s="1"/>
    </row>
    <row r="318" spans="1:13" ht="30" x14ac:dyDescent="0.25">
      <c r="A318" s="1"/>
      <c r="B318" s="1"/>
      <c r="C318" s="1"/>
      <c r="D318" s="1"/>
      <c r="E318" s="1"/>
      <c r="F318" s="1">
        <v>1</v>
      </c>
      <c r="G318" s="1"/>
      <c r="H318" s="4" t="str">
        <f>'BID II'!B178</f>
        <v>Belanja Barang Perlengkapan</v>
      </c>
      <c r="I318" s="1"/>
      <c r="J318" s="1"/>
      <c r="K318" s="91"/>
      <c r="L318" s="1"/>
    </row>
    <row r="319" spans="1:13" ht="30" x14ac:dyDescent="0.25">
      <c r="A319" s="1"/>
      <c r="B319" s="1"/>
      <c r="C319" s="1"/>
      <c r="D319" s="1"/>
      <c r="E319" s="1"/>
      <c r="F319" s="1"/>
      <c r="G319" s="1488" t="s">
        <v>2679</v>
      </c>
      <c r="H319" s="4" t="str">
        <f>'BID II'!B179</f>
        <v>Belanja Alat Tulis Kantor dan Benda Pos</v>
      </c>
      <c r="I319" s="1"/>
      <c r="J319" s="1"/>
      <c r="K319" s="91">
        <f>SUM('BID II'!F181:F184)</f>
        <v>644000</v>
      </c>
      <c r="L319" s="4" t="s">
        <v>2569</v>
      </c>
    </row>
    <row r="320" spans="1:13" ht="30" x14ac:dyDescent="0.25">
      <c r="A320" s="1"/>
      <c r="B320" s="1"/>
      <c r="C320" s="1"/>
      <c r="D320" s="1"/>
      <c r="E320" s="1"/>
      <c r="F320" s="1"/>
      <c r="G320" s="1488" t="s">
        <v>2700</v>
      </c>
      <c r="H320" s="4" t="str">
        <f>'BID II'!B187</f>
        <v>Belanja Barang Perlengkapan Konsumsi</v>
      </c>
      <c r="I320" s="1"/>
      <c r="J320" s="1"/>
      <c r="K320" s="91">
        <f>SUM('BID II'!F188)</f>
        <v>6930000</v>
      </c>
      <c r="L320" s="4" t="s">
        <v>2569</v>
      </c>
    </row>
    <row r="321" spans="1:13" ht="30" x14ac:dyDescent="0.25">
      <c r="A321" s="1"/>
      <c r="B321" s="1"/>
      <c r="C321" s="1"/>
      <c r="D321" s="1"/>
      <c r="E321" s="1"/>
      <c r="F321" s="1"/>
      <c r="G321" s="1488" t="s">
        <v>2702</v>
      </c>
      <c r="H321" s="4" t="str">
        <f>'BID II'!B189</f>
        <v>Belanja Bendera/ Umbul-umbul/ Spanduk</v>
      </c>
      <c r="I321" s="1"/>
      <c r="J321" s="1"/>
      <c r="K321" s="91">
        <f>'BID II'!F190</f>
        <v>107687.09</v>
      </c>
      <c r="L321" s="4" t="s">
        <v>2569</v>
      </c>
    </row>
    <row r="322" spans="1:13" x14ac:dyDescent="0.25">
      <c r="A322" s="1"/>
      <c r="B322" s="1"/>
      <c r="C322" s="1"/>
      <c r="D322" s="1">
        <v>5</v>
      </c>
      <c r="E322" s="1">
        <v>2</v>
      </c>
      <c r="F322" s="1">
        <v>2</v>
      </c>
      <c r="G322" s="1"/>
      <c r="H322" s="4" t="str">
        <f>'BID II'!B191</f>
        <v>Belanja Honorarium</v>
      </c>
      <c r="I322" s="1"/>
      <c r="J322" s="1"/>
      <c r="K322" s="91"/>
      <c r="L322" s="1"/>
    </row>
    <row r="323" spans="1:13" ht="45" x14ac:dyDescent="0.25">
      <c r="A323" s="1"/>
      <c r="B323" s="1"/>
      <c r="C323" s="1"/>
      <c r="D323" s="1"/>
      <c r="E323" s="1"/>
      <c r="F323" s="1"/>
      <c r="G323" s="1488" t="s">
        <v>2679</v>
      </c>
      <c r="H323" s="4" t="str">
        <f>'BID II'!B192</f>
        <v>Belanja Jasa Honorarium Tim Yang Melaksanakan Kegiatan</v>
      </c>
      <c r="I323" s="1"/>
      <c r="J323" s="1"/>
      <c r="K323" s="91">
        <f>'BID II'!F193</f>
        <v>4200000</v>
      </c>
      <c r="L323" s="4" t="s">
        <v>2569</v>
      </c>
    </row>
    <row r="324" spans="1:13" ht="60" x14ac:dyDescent="0.25">
      <c r="A324" s="1027">
        <v>2</v>
      </c>
      <c r="B324" s="1027">
        <v>1</v>
      </c>
      <c r="C324" s="1491" t="s">
        <v>2699</v>
      </c>
      <c r="D324" s="1027"/>
      <c r="E324" s="1027"/>
      <c r="F324" s="1027"/>
      <c r="G324" s="1027"/>
      <c r="H324" s="1028" t="str">
        <f>'BID II'!B286</f>
        <v>Pemeliharaan Sarana dan Prasarana TK Milik Desa (Paranet Tempat Bermain)</v>
      </c>
      <c r="I324" s="1027"/>
      <c r="J324" s="1027"/>
      <c r="K324" s="1492">
        <f>SUM(K327:K329)</f>
        <v>19811741</v>
      </c>
      <c r="L324" s="1027"/>
      <c r="M324" s="32">
        <f>'BID II'!F309</f>
        <v>19811741</v>
      </c>
    </row>
    <row r="325" spans="1:13" x14ac:dyDescent="0.25">
      <c r="A325" s="1"/>
      <c r="B325" s="1"/>
      <c r="C325" s="1"/>
      <c r="D325" s="1">
        <v>5</v>
      </c>
      <c r="E325" s="1">
        <v>3</v>
      </c>
      <c r="F325" s="1"/>
      <c r="G325" s="1"/>
      <c r="H325" s="4" t="str">
        <f>'BID II'!B293</f>
        <v>Belanja Modal</v>
      </c>
      <c r="I325" s="1"/>
      <c r="J325" s="1"/>
      <c r="K325" s="91"/>
      <c r="L325" s="1"/>
    </row>
    <row r="326" spans="1:13" ht="30" x14ac:dyDescent="0.25">
      <c r="A326" s="1"/>
      <c r="B326" s="1"/>
      <c r="C326" s="1"/>
      <c r="D326" s="1"/>
      <c r="E326" s="1"/>
      <c r="F326" s="1">
        <v>4</v>
      </c>
      <c r="G326" s="1"/>
      <c r="H326" s="4" t="str">
        <f>'BID II'!B294</f>
        <v>Belanja modal Gedung, Bangunan, Tanaman</v>
      </c>
      <c r="I326" s="1"/>
      <c r="J326" s="1"/>
      <c r="K326" s="91"/>
      <c r="L326" s="1"/>
    </row>
    <row r="327" spans="1:13" ht="45" x14ac:dyDescent="0.25">
      <c r="A327" s="1"/>
      <c r="B327" s="1"/>
      <c r="C327" s="1"/>
      <c r="D327" s="1"/>
      <c r="E327" s="1"/>
      <c r="F327" s="1"/>
      <c r="G327" s="1488" t="s">
        <v>2679</v>
      </c>
      <c r="H327" s="4" t="str">
        <f>'BID II'!B295</f>
        <v>Belanja modal honor tim yang melaksanakan kegiatan</v>
      </c>
      <c r="I327" s="1"/>
      <c r="J327" s="1"/>
      <c r="K327" s="91">
        <f>'BID II'!F297</f>
        <v>454066</v>
      </c>
      <c r="L327" s="4" t="s">
        <v>2570</v>
      </c>
    </row>
    <row r="328" spans="1:13" ht="30" x14ac:dyDescent="0.25">
      <c r="A328" s="1"/>
      <c r="B328" s="1"/>
      <c r="C328" s="1"/>
      <c r="D328" s="1"/>
      <c r="E328" s="1"/>
      <c r="F328" s="1"/>
      <c r="G328" s="1488" t="s">
        <v>2694</v>
      </c>
      <c r="H328" s="4" t="str">
        <f>'BID II'!B298</f>
        <v>Belanja modal upah tenaga kerja</v>
      </c>
      <c r="I328" s="1"/>
      <c r="J328" s="1"/>
      <c r="K328" s="91">
        <f>'BID II'!F302</f>
        <v>2050000</v>
      </c>
      <c r="L328" s="4" t="s">
        <v>2570</v>
      </c>
    </row>
    <row r="329" spans="1:13" ht="30" x14ac:dyDescent="0.25">
      <c r="A329" s="1"/>
      <c r="B329" s="1"/>
      <c r="C329" s="1"/>
      <c r="D329" s="1"/>
      <c r="E329" s="1"/>
      <c r="F329" s="1"/>
      <c r="G329" s="1488" t="s">
        <v>2696</v>
      </c>
      <c r="H329" s="4" t="str">
        <f>'BID II'!B303</f>
        <v>Belanja modal bahan baku</v>
      </c>
      <c r="I329" s="1"/>
      <c r="J329" s="1"/>
      <c r="K329" s="91">
        <f>'BID II'!F307</f>
        <v>17307675</v>
      </c>
      <c r="L329" s="4" t="s">
        <v>2570</v>
      </c>
    </row>
    <row r="330" spans="1:13" ht="105" x14ac:dyDescent="0.25">
      <c r="A330" s="1027">
        <v>2</v>
      </c>
      <c r="B330" s="1027">
        <v>1</v>
      </c>
      <c r="C330" s="1491" t="s">
        <v>2701</v>
      </c>
      <c r="D330" s="1027"/>
      <c r="E330" s="1027"/>
      <c r="F330" s="1027"/>
      <c r="G330" s="1027"/>
      <c r="H330" s="1028" t="str">
        <f>'BID II'!B322</f>
        <v>:Peningkatan Sarana Prasarana Perpustakaan/Taman Bacaan Desa/ Sanggar Belajar Milik Desa (Perpustakaan Digital dan keliling)</v>
      </c>
      <c r="I330" s="1027"/>
      <c r="J330" s="1027"/>
      <c r="K330" s="1492" t="e">
        <f>SUM(K331:K336)</f>
        <v>#REF!</v>
      </c>
      <c r="L330" s="1028" t="s">
        <v>2568</v>
      </c>
      <c r="M330" s="32">
        <f>'BID II'!F344</f>
        <v>21000000</v>
      </c>
    </row>
    <row r="331" spans="1:13" x14ac:dyDescent="0.25">
      <c r="A331" s="1"/>
      <c r="B331" s="1"/>
      <c r="C331" s="1"/>
      <c r="D331" s="1">
        <v>5</v>
      </c>
      <c r="E331" s="1">
        <v>2</v>
      </c>
      <c r="F331" s="1"/>
      <c r="G331" s="1"/>
      <c r="H331" s="4" t="str">
        <f>'BID II'!B329</f>
        <v>Belanja Barang Jasa</v>
      </c>
      <c r="I331" s="1"/>
      <c r="J331" s="1"/>
      <c r="K331" s="91"/>
      <c r="L331" s="1"/>
    </row>
    <row r="332" spans="1:13" ht="30" x14ac:dyDescent="0.25">
      <c r="A332" s="1"/>
      <c r="B332" s="1"/>
      <c r="C332" s="1"/>
      <c r="D332" s="1"/>
      <c r="E332" s="1"/>
      <c r="F332" s="1">
        <v>1</v>
      </c>
      <c r="G332" s="1"/>
      <c r="H332" s="4" t="str">
        <f>'BID II'!B330</f>
        <v>Belanja Barang Perlengkapan</v>
      </c>
      <c r="I332" s="1"/>
      <c r="J332" s="1"/>
      <c r="K332" s="91"/>
      <c r="L332" s="1"/>
    </row>
    <row r="333" spans="1:13" ht="45" x14ac:dyDescent="0.25">
      <c r="A333" s="1"/>
      <c r="B333" s="1"/>
      <c r="C333" s="1"/>
      <c r="D333" s="1"/>
      <c r="E333" s="1"/>
      <c r="F333" s="1"/>
      <c r="G333" s="1488" t="s">
        <v>2679</v>
      </c>
      <c r="H333" s="4" t="str">
        <f>'BID II'!B331</f>
        <v>Belanja Alat Tulis Kantor dan Benda Pos</v>
      </c>
      <c r="I333" s="1"/>
      <c r="J333" s="1"/>
      <c r="K333" s="91" t="e">
        <f>SUM('BID II'!#REF!)</f>
        <v>#REF!</v>
      </c>
      <c r="L333" s="4" t="s">
        <v>2568</v>
      </c>
    </row>
    <row r="334" spans="1:13" ht="45" x14ac:dyDescent="0.25">
      <c r="A334" s="1"/>
      <c r="B334" s="1"/>
      <c r="C334" s="1"/>
      <c r="D334" s="1"/>
      <c r="E334" s="1"/>
      <c r="F334" s="1"/>
      <c r="G334" s="1488" t="s">
        <v>2697</v>
      </c>
      <c r="H334" s="4" t="str">
        <f>'BID II'!B339</f>
        <v>Belanja Bahan Bakar Kendaraan Bermotor</v>
      </c>
      <c r="I334" s="1"/>
      <c r="J334" s="1"/>
      <c r="K334" s="91">
        <f>'BID II'!F340</f>
        <v>5000000</v>
      </c>
      <c r="L334" s="4" t="s">
        <v>2568</v>
      </c>
    </row>
    <row r="335" spans="1:13" x14ac:dyDescent="0.25">
      <c r="A335" s="1"/>
      <c r="B335" s="1"/>
      <c r="C335" s="1"/>
      <c r="D335" s="1">
        <v>5</v>
      </c>
      <c r="E335" s="1">
        <v>2</v>
      </c>
      <c r="F335" s="1">
        <v>6</v>
      </c>
      <c r="G335" s="1"/>
      <c r="H335" s="4" t="str">
        <f>'BID II'!B341</f>
        <v>Belanja Pemeliharaan</v>
      </c>
      <c r="I335" s="1"/>
      <c r="J335" s="1"/>
      <c r="K335" s="91"/>
      <c r="L335" s="1"/>
    </row>
    <row r="336" spans="1:13" ht="45" x14ac:dyDescent="0.25">
      <c r="A336" s="1"/>
      <c r="B336" s="1"/>
      <c r="C336" s="1"/>
      <c r="D336" s="1"/>
      <c r="E336" s="1"/>
      <c r="F336" s="1"/>
      <c r="G336" s="1488" t="s">
        <v>2694</v>
      </c>
      <c r="H336" s="4" t="str">
        <f>'BID II'!B342</f>
        <v>Belanja Pemeliharaan Kendaraan Bermotor</v>
      </c>
      <c r="I336" s="1"/>
      <c r="J336" s="1"/>
      <c r="K336" s="91">
        <f>'BID II'!F343</f>
        <v>2000000</v>
      </c>
      <c r="L336" s="4" t="s">
        <v>2568</v>
      </c>
    </row>
    <row r="337" spans="1:13" ht="45" x14ac:dyDescent="0.25">
      <c r="A337" s="1027">
        <v>2</v>
      </c>
      <c r="B337" s="1027">
        <v>2</v>
      </c>
      <c r="C337" s="1491" t="s">
        <v>2694</v>
      </c>
      <c r="D337" s="1027"/>
      <c r="E337" s="1027"/>
      <c r="F337" s="1027"/>
      <c r="G337" s="1027"/>
      <c r="H337" s="1028" t="str">
        <f>'BID II'!B357</f>
        <v>: Penyelenggaraan Posyandu (Pemberian PMT)</v>
      </c>
      <c r="I337" s="1027"/>
      <c r="J337" s="1027"/>
      <c r="K337" s="1492" t="e">
        <f>SUM(K338:K346)</f>
        <v>#REF!</v>
      </c>
      <c r="L337" s="1027"/>
      <c r="M337" s="32">
        <f>'BID II'!F394</f>
        <v>387855500</v>
      </c>
    </row>
    <row r="338" spans="1:13" x14ac:dyDescent="0.25">
      <c r="A338" s="1"/>
      <c r="B338" s="1"/>
      <c r="C338" s="1"/>
      <c r="D338" s="1">
        <v>5</v>
      </c>
      <c r="E338" s="1">
        <v>2</v>
      </c>
      <c r="F338" s="1"/>
      <c r="G338" s="1"/>
      <c r="H338" s="4" t="str">
        <f>'BID II'!B362</f>
        <v>Belanja Barang dan Jasa</v>
      </c>
      <c r="I338" s="1"/>
      <c r="J338" s="1"/>
      <c r="K338" s="91"/>
      <c r="L338" s="1"/>
    </row>
    <row r="339" spans="1:13" ht="30" x14ac:dyDescent="0.25">
      <c r="A339" s="1"/>
      <c r="B339" s="1"/>
      <c r="C339" s="1"/>
      <c r="D339" s="1"/>
      <c r="E339" s="1"/>
      <c r="F339" s="1">
        <v>1</v>
      </c>
      <c r="G339" s="1"/>
      <c r="H339" s="4" t="str">
        <f>'BID II'!B363</f>
        <v>Belanaja Barang Pelengkapan</v>
      </c>
      <c r="I339" s="1"/>
      <c r="J339" s="1"/>
      <c r="K339" s="91"/>
      <c r="L339" s="1"/>
    </row>
    <row r="340" spans="1:13" ht="30" x14ac:dyDescent="0.25">
      <c r="A340" s="1"/>
      <c r="B340" s="1"/>
      <c r="C340" s="1"/>
      <c r="D340" s="1"/>
      <c r="E340" s="1"/>
      <c r="F340" s="1"/>
      <c r="G340" s="1488" t="s">
        <v>2679</v>
      </c>
      <c r="H340" s="4" t="str">
        <f>'BID II'!B364</f>
        <v>Perlangakapan Alat Tulis Kantor dan Benda POS</v>
      </c>
      <c r="I340" s="1"/>
      <c r="J340" s="1"/>
      <c r="K340" s="91">
        <f>SUM('BID II'!F365:F371)</f>
        <v>4727500</v>
      </c>
      <c r="L340" s="1" t="s">
        <v>1711</v>
      </c>
    </row>
    <row r="341" spans="1:13" ht="30" x14ac:dyDescent="0.25">
      <c r="A341" s="1"/>
      <c r="B341" s="1"/>
      <c r="C341" s="1"/>
      <c r="D341" s="1"/>
      <c r="E341" s="1"/>
      <c r="F341" s="1"/>
      <c r="G341" s="1488" t="s">
        <v>2700</v>
      </c>
      <c r="H341" s="4" t="str">
        <f>'BID II'!B373</f>
        <v>Belanja Perlengkapan Barang Konsumsi</v>
      </c>
      <c r="I341" s="1"/>
      <c r="J341" s="1"/>
      <c r="K341" s="91">
        <f>SUM('BID II'!F375:F380)</f>
        <v>216468000</v>
      </c>
      <c r="L341" s="1" t="s">
        <v>1711</v>
      </c>
    </row>
    <row r="342" spans="1:13" x14ac:dyDescent="0.25">
      <c r="A342" s="1"/>
      <c r="B342" s="1"/>
      <c r="C342" s="1"/>
      <c r="D342" s="1"/>
      <c r="E342" s="1"/>
      <c r="F342" s="1"/>
      <c r="G342" s="1488" t="s">
        <v>2701</v>
      </c>
      <c r="H342" s="4" t="str">
        <f>'BID II'!B382</f>
        <v>Belanja Bahan/Material</v>
      </c>
      <c r="I342" s="1"/>
      <c r="J342" s="1"/>
      <c r="K342" s="91">
        <f>'BID II'!F384</f>
        <v>1950000</v>
      </c>
      <c r="L342" s="1" t="s">
        <v>1711</v>
      </c>
    </row>
    <row r="343" spans="1:13" ht="30" x14ac:dyDescent="0.25">
      <c r="A343" s="1"/>
      <c r="B343" s="1"/>
      <c r="C343" s="1"/>
      <c r="D343" s="1"/>
      <c r="E343" s="1"/>
      <c r="F343" s="1"/>
      <c r="G343" s="1488" t="s">
        <v>2702</v>
      </c>
      <c r="H343" s="4" t="str">
        <f>'BID II'!B386</f>
        <v>Belanja Bendera/Umbul - umbul Spanduk</v>
      </c>
      <c r="I343" s="1"/>
      <c r="J343" s="1"/>
      <c r="K343" s="91">
        <f>'BID II'!F387</f>
        <v>1170000</v>
      </c>
      <c r="L343" s="1" t="s">
        <v>1711</v>
      </c>
    </row>
    <row r="344" spans="1:13" x14ac:dyDescent="0.25">
      <c r="A344" s="1"/>
      <c r="B344" s="1"/>
      <c r="C344" s="1"/>
      <c r="D344" s="1"/>
      <c r="E344" s="1"/>
      <c r="F344" s="1"/>
      <c r="G344" s="1">
        <v>90</v>
      </c>
      <c r="H344" s="4" t="e">
        <f>'BID II'!#REF!</f>
        <v>#REF!</v>
      </c>
      <c r="I344" s="1"/>
      <c r="J344" s="1"/>
      <c r="K344" s="91" t="e">
        <f>SUM('BID II'!#REF!)</f>
        <v>#REF!</v>
      </c>
      <c r="L344" s="1" t="s">
        <v>1711</v>
      </c>
    </row>
    <row r="345" spans="1:13" x14ac:dyDescent="0.25">
      <c r="A345" s="1"/>
      <c r="B345" s="1"/>
      <c r="C345" s="1"/>
      <c r="D345" s="1">
        <v>5</v>
      </c>
      <c r="E345" s="1">
        <v>2</v>
      </c>
      <c r="F345" s="1">
        <v>2</v>
      </c>
      <c r="G345" s="1"/>
      <c r="H345" s="4" t="str">
        <f>'BID II'!B391</f>
        <v>Belanja Jasa Honorarium</v>
      </c>
      <c r="I345" s="1"/>
      <c r="J345" s="1"/>
      <c r="K345" s="91"/>
      <c r="L345" s="1"/>
    </row>
    <row r="346" spans="1:13" ht="30" x14ac:dyDescent="0.25">
      <c r="A346" s="1"/>
      <c r="B346" s="1"/>
      <c r="C346" s="1"/>
      <c r="D346" s="1"/>
      <c r="E346" s="1"/>
      <c r="F346" s="1"/>
      <c r="G346" s="1488" t="s">
        <v>2699</v>
      </c>
      <c r="H346" s="4" t="str">
        <f>'BID II'!B392</f>
        <v>Belanja Jasa Honorarium Petugas</v>
      </c>
      <c r="I346" s="1"/>
      <c r="J346" s="1"/>
      <c r="K346" s="91">
        <f>'BID II'!F393</f>
        <v>156000000</v>
      </c>
      <c r="L346" s="1" t="s">
        <v>1711</v>
      </c>
    </row>
    <row r="347" spans="1:13" ht="45" x14ac:dyDescent="0.25">
      <c r="A347" s="1027">
        <v>2</v>
      </c>
      <c r="B347" s="1027">
        <v>2</v>
      </c>
      <c r="C347" s="1491" t="s">
        <v>2694</v>
      </c>
      <c r="D347" s="1027"/>
      <c r="E347" s="1027"/>
      <c r="F347" s="1027"/>
      <c r="G347" s="1027"/>
      <c r="H347" s="1028" t="str">
        <f>'BID II'!B408</f>
        <v>: Penyelenggaraan POSyandu (Pos Gizi dan Ibu Hamil)</v>
      </c>
      <c r="I347" s="1027"/>
      <c r="J347" s="1027"/>
      <c r="K347" s="1492">
        <f>SUM(K348:K354)</f>
        <v>3030000</v>
      </c>
      <c r="L347" s="1027"/>
      <c r="M347" s="32">
        <f>'BID II'!F434</f>
        <v>3030000</v>
      </c>
    </row>
    <row r="348" spans="1:13" x14ac:dyDescent="0.25">
      <c r="A348" s="1"/>
      <c r="B348" s="1"/>
      <c r="C348" s="1"/>
      <c r="D348" s="1">
        <v>5</v>
      </c>
      <c r="E348" s="1">
        <v>2</v>
      </c>
      <c r="F348" s="1"/>
      <c r="G348" s="1"/>
      <c r="H348" s="4" t="str">
        <f>'BID II'!B415</f>
        <v>Belanja Barang Jasa</v>
      </c>
      <c r="I348" s="1"/>
      <c r="J348" s="1"/>
      <c r="K348" s="91"/>
      <c r="L348" s="1"/>
    </row>
    <row r="349" spans="1:13" ht="30" x14ac:dyDescent="0.25">
      <c r="A349" s="1"/>
      <c r="B349" s="1"/>
      <c r="C349" s="1"/>
      <c r="D349" s="1"/>
      <c r="E349" s="1"/>
      <c r="F349" s="1">
        <v>1</v>
      </c>
      <c r="G349" s="1"/>
      <c r="H349" s="4" t="str">
        <f>'BID II'!B416</f>
        <v>Belanja Barang Perlengkapan</v>
      </c>
      <c r="I349" s="1"/>
      <c r="J349" s="1"/>
      <c r="K349" s="91"/>
      <c r="L349" s="1"/>
    </row>
    <row r="350" spans="1:13" ht="30" x14ac:dyDescent="0.25">
      <c r="A350" s="1"/>
      <c r="B350" s="1"/>
      <c r="C350" s="1"/>
      <c r="D350" s="1"/>
      <c r="E350" s="1"/>
      <c r="F350" s="1"/>
      <c r="G350" s="1488" t="s">
        <v>2679</v>
      </c>
      <c r="H350" s="4" t="str">
        <f>'BID II'!B417</f>
        <v>Belanja Alat Tulis Kantor dan Benda Pos</v>
      </c>
      <c r="I350" s="1"/>
      <c r="J350" s="1"/>
      <c r="K350" s="91">
        <f>SUM('BID II'!F418:F419)</f>
        <v>190000</v>
      </c>
      <c r="L350" s="4" t="s">
        <v>2569</v>
      </c>
    </row>
    <row r="351" spans="1:13" ht="30" x14ac:dyDescent="0.25">
      <c r="A351" s="1"/>
      <c r="B351" s="1"/>
      <c r="C351" s="1"/>
      <c r="D351" s="1"/>
      <c r="E351" s="1"/>
      <c r="F351" s="1"/>
      <c r="G351" s="1488" t="s">
        <v>2700</v>
      </c>
      <c r="H351" s="4" t="str">
        <f>'BID II'!B421</f>
        <v>Belanja Perlengkapan Barang Konsumsi</v>
      </c>
      <c r="I351" s="1"/>
      <c r="J351" s="1"/>
      <c r="K351" s="91">
        <f>SUM('BID II'!F422:F424)</f>
        <v>2150000</v>
      </c>
      <c r="L351" s="4" t="s">
        <v>2569</v>
      </c>
    </row>
    <row r="352" spans="1:13" ht="30" x14ac:dyDescent="0.25">
      <c r="A352" s="1"/>
      <c r="B352" s="1"/>
      <c r="C352" s="1"/>
      <c r="D352" s="1"/>
      <c r="E352" s="1"/>
      <c r="F352" s="1"/>
      <c r="G352" s="1488" t="s">
        <v>2702</v>
      </c>
      <c r="H352" s="4" t="str">
        <f>'BID II'!B427</f>
        <v>Belanja Bendera/ Umbul-umbul/ Spanduk</v>
      </c>
      <c r="I352" s="1"/>
      <c r="J352" s="1"/>
      <c r="K352" s="91">
        <f>'BID II'!F428</f>
        <v>90000</v>
      </c>
      <c r="L352" s="4" t="s">
        <v>2569</v>
      </c>
    </row>
    <row r="353" spans="1:13" x14ac:dyDescent="0.25">
      <c r="A353" s="1"/>
      <c r="B353" s="1"/>
      <c r="C353" s="1"/>
      <c r="D353" s="1">
        <v>5</v>
      </c>
      <c r="E353" s="1">
        <v>2</v>
      </c>
      <c r="F353" s="1">
        <v>2</v>
      </c>
      <c r="G353" s="1"/>
      <c r="H353" s="4" t="str">
        <f>'BID II'!B430</f>
        <v>Belanja Jasa Honorarium</v>
      </c>
      <c r="I353" s="1"/>
      <c r="J353" s="1"/>
      <c r="K353" s="91"/>
      <c r="L353" s="1"/>
    </row>
    <row r="354" spans="1:13" ht="60" x14ac:dyDescent="0.25">
      <c r="A354" s="1"/>
      <c r="B354" s="1"/>
      <c r="C354" s="1"/>
      <c r="D354" s="1"/>
      <c r="E354" s="1"/>
      <c r="F354" s="1"/>
      <c r="G354" s="1488" t="s">
        <v>2697</v>
      </c>
      <c r="H354" s="4" t="str">
        <f>'BID II'!B431</f>
        <v>Belanja Jasa Honorarium Ahli/ Profesi/Konsultan/Narasumber</v>
      </c>
      <c r="I354" s="1"/>
      <c r="J354" s="1"/>
      <c r="K354" s="91">
        <f>'BID II'!F432</f>
        <v>600000</v>
      </c>
      <c r="L354" s="4" t="s">
        <v>2569</v>
      </c>
    </row>
    <row r="355" spans="1:13" ht="75" x14ac:dyDescent="0.25">
      <c r="A355" s="1027">
        <v>2</v>
      </c>
      <c r="B355" s="1027">
        <v>2</v>
      </c>
      <c r="C355" s="1491" t="s">
        <v>2696</v>
      </c>
      <c r="D355" s="1027"/>
      <c r="E355" s="1027"/>
      <c r="F355" s="1027"/>
      <c r="G355" s="1027"/>
      <c r="H355" s="1028" t="str">
        <f>'BID II'!B449</f>
        <v>: Penyuluhan dan Pelatihan Bidang Kesehatan (Pemberian tambahan nutrisi bagi lansia)</v>
      </c>
      <c r="I355" s="1027"/>
      <c r="J355" s="1027"/>
      <c r="K355" s="1492">
        <f>SUM(K356:K369)</f>
        <v>280876500</v>
      </c>
      <c r="L355" s="1027"/>
      <c r="M355" s="83">
        <f>'BID II'!F502</f>
        <v>375241500</v>
      </c>
    </row>
    <row r="356" spans="1:13" x14ac:dyDescent="0.25">
      <c r="A356" s="1"/>
      <c r="B356" s="1"/>
      <c r="C356" s="1"/>
      <c r="D356" s="1">
        <v>5</v>
      </c>
      <c r="E356" s="1">
        <v>2</v>
      </c>
      <c r="F356" s="1"/>
      <c r="G356" s="1"/>
      <c r="H356" s="4" t="str">
        <f>'BID II'!B455</f>
        <v xml:space="preserve">Belanja Barang dan Jasa </v>
      </c>
      <c r="I356" s="1"/>
      <c r="J356" s="1"/>
      <c r="K356" s="91"/>
      <c r="L356" s="1"/>
      <c r="M356" s="32">
        <f>K355-M355</f>
        <v>-94365000</v>
      </c>
    </row>
    <row r="357" spans="1:13" ht="30" x14ac:dyDescent="0.25">
      <c r="A357" s="1"/>
      <c r="B357" s="1"/>
      <c r="C357" s="1"/>
      <c r="D357" s="1"/>
      <c r="E357" s="1"/>
      <c r="F357" s="1">
        <v>1</v>
      </c>
      <c r="G357" s="1"/>
      <c r="H357" s="4" t="str">
        <f>'BID II'!B456</f>
        <v>Belanja Barang perlengkapan</v>
      </c>
      <c r="I357" s="1"/>
      <c r="J357" s="1"/>
      <c r="K357" s="91"/>
      <c r="L357" s="1"/>
    </row>
    <row r="358" spans="1:13" ht="45" x14ac:dyDescent="0.25">
      <c r="A358" s="1"/>
      <c r="B358" s="1"/>
      <c r="C358" s="1"/>
      <c r="D358" s="1"/>
      <c r="E358" s="1"/>
      <c r="F358" s="1"/>
      <c r="G358" s="1488" t="s">
        <v>2679</v>
      </c>
      <c r="H358" s="4" t="str">
        <f>'BID II'!B457</f>
        <v>Belanja Perlengkapan Alat Tulis Kantor Dan Benda Pos</v>
      </c>
      <c r="I358" s="1"/>
      <c r="J358" s="1"/>
      <c r="K358" s="91">
        <f>SUM('BID II'!F458:F461)</f>
        <v>837500</v>
      </c>
      <c r="L358" s="1" t="s">
        <v>1711</v>
      </c>
    </row>
    <row r="359" spans="1:13" ht="30" x14ac:dyDescent="0.25">
      <c r="A359" s="1"/>
      <c r="B359" s="1"/>
      <c r="C359" s="1"/>
      <c r="D359" s="1"/>
      <c r="E359" s="1"/>
      <c r="F359" s="1"/>
      <c r="G359" s="1488" t="s">
        <v>2700</v>
      </c>
      <c r="H359" s="4" t="str">
        <f>'BID II'!B463</f>
        <v>Belanja Perlengkapan Barang Konsumsi</v>
      </c>
      <c r="I359" s="1"/>
      <c r="J359" s="1"/>
      <c r="K359" s="91">
        <f>SUM('BID II'!F464:F469)</f>
        <v>98940000</v>
      </c>
      <c r="L359" s="1" t="s">
        <v>1711</v>
      </c>
    </row>
    <row r="360" spans="1:13" ht="30" x14ac:dyDescent="0.25">
      <c r="A360" s="1"/>
      <c r="B360" s="1"/>
      <c r="C360" s="1"/>
      <c r="D360" s="1"/>
      <c r="E360" s="1"/>
      <c r="F360" s="1"/>
      <c r="G360" s="1488" t="s">
        <v>2702</v>
      </c>
      <c r="H360" s="4" t="str">
        <f>'BID II'!B479</f>
        <v>Belanja Bendera/ Umbul-Umbul/ Spanduk</v>
      </c>
      <c r="I360" s="1"/>
      <c r="J360" s="1"/>
      <c r="K360" s="91">
        <f>'BID II'!F480</f>
        <v>1170000</v>
      </c>
      <c r="L360" s="1" t="s">
        <v>1711</v>
      </c>
    </row>
    <row r="361" spans="1:13" x14ac:dyDescent="0.25">
      <c r="A361" s="1"/>
      <c r="B361" s="1"/>
      <c r="C361" s="1"/>
      <c r="D361" s="1">
        <v>5</v>
      </c>
      <c r="E361" s="1">
        <v>2</v>
      </c>
      <c r="F361" s="1">
        <v>2</v>
      </c>
      <c r="G361" s="1"/>
      <c r="H361" s="4" t="str">
        <f>'BID II'!B482</f>
        <v>Belanaja Jasa Honorarium</v>
      </c>
      <c r="I361" s="1"/>
      <c r="J361" s="1"/>
      <c r="K361" s="91"/>
      <c r="L361" s="1"/>
    </row>
    <row r="362" spans="1:13" ht="30" x14ac:dyDescent="0.25">
      <c r="A362" s="1"/>
      <c r="B362" s="1"/>
      <c r="C362" s="1"/>
      <c r="D362" s="1"/>
      <c r="E362" s="1"/>
      <c r="F362" s="1"/>
      <c r="G362" s="1488" t="s">
        <v>2699</v>
      </c>
      <c r="H362" s="4" t="str">
        <f>'BID II'!B483</f>
        <v>Belanja Jasa Honorarium Petugas</v>
      </c>
      <c r="I362" s="1"/>
      <c r="J362" s="1"/>
      <c r="K362" s="91">
        <f>'BID II'!F484</f>
        <v>144000000</v>
      </c>
      <c r="L362" s="1" t="s">
        <v>1711</v>
      </c>
    </row>
    <row r="363" spans="1:13" ht="45" x14ac:dyDescent="0.25">
      <c r="A363" s="1"/>
      <c r="B363" s="1"/>
      <c r="C363" s="1"/>
      <c r="D363" s="1">
        <v>5</v>
      </c>
      <c r="E363" s="1">
        <v>2</v>
      </c>
      <c r="F363" s="1">
        <v>1</v>
      </c>
      <c r="G363" s="1488" t="s">
        <v>2679</v>
      </c>
      <c r="H363" s="4" t="str">
        <f>'BID II'!B487</f>
        <v>Belanja Perlengkapan Alat Tulis Kantor Dan Benda Pos</v>
      </c>
      <c r="I363" s="1"/>
      <c r="J363" s="1"/>
      <c r="K363" s="91">
        <f>SUM('BID II'!F488:F489)</f>
        <v>624000</v>
      </c>
      <c r="L363" s="1" t="s">
        <v>1711</v>
      </c>
    </row>
    <row r="364" spans="1:13" ht="30" x14ac:dyDescent="0.25">
      <c r="A364" s="1"/>
      <c r="B364" s="1"/>
      <c r="C364" s="1"/>
      <c r="D364" s="1"/>
      <c r="E364" s="1"/>
      <c r="F364" s="1"/>
      <c r="G364" s="1488" t="s">
        <v>2700</v>
      </c>
      <c r="H364" s="4" t="str">
        <f>'BID II'!B490</f>
        <v>Belanja Perlengkapan Barang Konsumsi</v>
      </c>
      <c r="I364" s="1"/>
      <c r="J364" s="1"/>
      <c r="K364" s="91">
        <f>'BID II'!F491</f>
        <v>1035000</v>
      </c>
      <c r="L364" s="1" t="s">
        <v>1711</v>
      </c>
    </row>
    <row r="365" spans="1:13" ht="30" x14ac:dyDescent="0.25">
      <c r="A365" s="1"/>
      <c r="B365" s="1"/>
      <c r="C365" s="1"/>
      <c r="D365" s="1"/>
      <c r="E365" s="1"/>
      <c r="F365" s="1"/>
      <c r="G365" s="1488" t="s">
        <v>2702</v>
      </c>
      <c r="H365" s="4" t="str">
        <f>'BID II'!B492</f>
        <v>Belanja Bendera/ Umbul-Umbul/ Spanduk</v>
      </c>
      <c r="I365" s="1"/>
      <c r="J365" s="1"/>
      <c r="K365" s="91">
        <f>'BID II'!F493</f>
        <v>1170000</v>
      </c>
      <c r="L365" s="1" t="s">
        <v>1711</v>
      </c>
    </row>
    <row r="366" spans="1:13" x14ac:dyDescent="0.25">
      <c r="A366" s="1"/>
      <c r="B366" s="1"/>
      <c r="C366" s="1"/>
      <c r="D366" s="1">
        <v>5</v>
      </c>
      <c r="E366" s="1">
        <v>2</v>
      </c>
      <c r="F366" s="1">
        <v>2</v>
      </c>
      <c r="G366" s="1"/>
      <c r="H366" s="4" t="str">
        <f>'BID II'!B495</f>
        <v>Belanaja Jasa Honorarium</v>
      </c>
      <c r="I366" s="1"/>
      <c r="J366" s="1"/>
      <c r="K366" s="91"/>
      <c r="L366" s="1"/>
    </row>
    <row r="367" spans="1:13" ht="30" x14ac:dyDescent="0.25">
      <c r="A367" s="1"/>
      <c r="B367" s="1"/>
      <c r="C367" s="1"/>
      <c r="D367" s="1"/>
      <c r="E367" s="1"/>
      <c r="F367" s="1"/>
      <c r="G367" s="1488" t="s">
        <v>2697</v>
      </c>
      <c r="H367" s="4" t="str">
        <f>'BID II'!B496</f>
        <v>Belanja Jasa Honorarium Narasumber</v>
      </c>
      <c r="I367" s="1"/>
      <c r="J367" s="1"/>
      <c r="K367" s="91">
        <f>'BID II'!F497</f>
        <v>600000</v>
      </c>
      <c r="L367" s="1" t="s">
        <v>1711</v>
      </c>
    </row>
    <row r="368" spans="1:13" x14ac:dyDescent="0.25">
      <c r="A368" s="1"/>
      <c r="B368" s="1"/>
      <c r="C368" s="1"/>
      <c r="D368" s="1">
        <v>5</v>
      </c>
      <c r="E368" s="1">
        <v>2</v>
      </c>
      <c r="F368" s="1">
        <v>4</v>
      </c>
      <c r="G368" s="1"/>
      <c r="H368" s="4" t="str">
        <f>'BID II'!B499</f>
        <v>Belanja Sewa</v>
      </c>
      <c r="I368" s="1"/>
      <c r="J368" s="1"/>
      <c r="K368" s="91"/>
      <c r="L368" s="1"/>
    </row>
    <row r="369" spans="1:13" ht="30" x14ac:dyDescent="0.25">
      <c r="A369" s="1"/>
      <c r="B369" s="1"/>
      <c r="C369" s="1"/>
      <c r="D369" s="1"/>
      <c r="E369" s="1"/>
      <c r="F369" s="1"/>
      <c r="G369" s="1488" t="s">
        <v>2696</v>
      </c>
      <c r="H369" s="4" t="str">
        <f>'BID II'!B500</f>
        <v>Belanja Jasa Sewa Mobilitas</v>
      </c>
      <c r="I369" s="1"/>
      <c r="J369" s="1"/>
      <c r="K369" s="91">
        <f>'BID II'!F501</f>
        <v>32500000</v>
      </c>
      <c r="L369" s="1" t="s">
        <v>1845</v>
      </c>
    </row>
    <row r="370" spans="1:13" ht="30" x14ac:dyDescent="0.25">
      <c r="A370" s="1027">
        <v>2</v>
      </c>
      <c r="B370" s="1027">
        <v>2</v>
      </c>
      <c r="C370" s="1491" t="s">
        <v>2696</v>
      </c>
      <c r="D370" s="1027"/>
      <c r="E370" s="1027"/>
      <c r="F370" s="1027"/>
      <c r="G370" s="1027"/>
      <c r="H370" s="1028" t="str">
        <f>'BID II'!B522</f>
        <v>Pendampingan Calon Pengantin</v>
      </c>
      <c r="I370" s="1027"/>
      <c r="J370" s="1027"/>
      <c r="K370" s="1492">
        <f>SUM(K371:K378)</f>
        <v>12422000</v>
      </c>
      <c r="L370" s="1027"/>
      <c r="M370" s="32">
        <f>'BID II'!F545</f>
        <v>12422000</v>
      </c>
    </row>
    <row r="371" spans="1:13" x14ac:dyDescent="0.25">
      <c r="A371" s="1"/>
      <c r="B371" s="1"/>
      <c r="C371" s="1"/>
      <c r="D371" s="1">
        <v>5</v>
      </c>
      <c r="E371" s="1">
        <v>2</v>
      </c>
      <c r="F371" s="1"/>
      <c r="G371" s="1"/>
      <c r="H371" s="4" t="str">
        <f>'BID II'!B523</f>
        <v>Belanja Barang Jasa</v>
      </c>
      <c r="I371" s="1"/>
      <c r="J371" s="1"/>
      <c r="K371" s="91"/>
      <c r="L371" s="1"/>
    </row>
    <row r="372" spans="1:13" ht="30" x14ac:dyDescent="0.25">
      <c r="A372" s="1"/>
      <c r="B372" s="1"/>
      <c r="C372" s="1"/>
      <c r="D372" s="1"/>
      <c r="E372" s="1"/>
      <c r="F372" s="1">
        <v>1</v>
      </c>
      <c r="G372" s="1"/>
      <c r="H372" s="4" t="str">
        <f>'BID II'!B524</f>
        <v>Belanja Barang Perlengkapan</v>
      </c>
      <c r="I372" s="1"/>
      <c r="J372" s="1"/>
      <c r="K372" s="91"/>
      <c r="L372" s="1"/>
    </row>
    <row r="373" spans="1:13" ht="30" x14ac:dyDescent="0.25">
      <c r="A373" s="1"/>
      <c r="B373" s="1"/>
      <c r="C373" s="1"/>
      <c r="D373" s="1"/>
      <c r="E373" s="1"/>
      <c r="F373" s="1"/>
      <c r="G373" s="1488" t="s">
        <v>2679</v>
      </c>
      <c r="H373" s="4" t="str">
        <f>'BID II'!B525</f>
        <v>Belanja Alat Tulis Kantor dan Benda Pos</v>
      </c>
      <c r="I373" s="1"/>
      <c r="J373" s="1"/>
      <c r="K373" s="91">
        <f>SUM('BID II'!F526:F527)</f>
        <v>122000</v>
      </c>
      <c r="L373" s="1" t="s">
        <v>1711</v>
      </c>
    </row>
    <row r="374" spans="1:13" x14ac:dyDescent="0.25">
      <c r="A374" s="1"/>
      <c r="B374" s="1"/>
      <c r="C374" s="1"/>
      <c r="D374" s="1"/>
      <c r="E374" s="1"/>
      <c r="F374" s="1"/>
      <c r="G374" s="1488" t="s">
        <v>2701</v>
      </c>
      <c r="H374" s="4" t="str">
        <f>'BID II'!B529</f>
        <v>Belanja Bahan Material</v>
      </c>
      <c r="I374" s="1"/>
      <c r="J374" s="1"/>
      <c r="K374" s="91">
        <f>SUM('BID II'!F530:F533)</f>
        <v>3210000</v>
      </c>
      <c r="L374" s="1" t="s">
        <v>1711</v>
      </c>
    </row>
    <row r="375" spans="1:13" ht="30" x14ac:dyDescent="0.25">
      <c r="A375" s="1"/>
      <c r="B375" s="1"/>
      <c r="C375" s="1"/>
      <c r="D375" s="1"/>
      <c r="E375" s="1"/>
      <c r="F375" s="1"/>
      <c r="G375" s="1488" t="s">
        <v>2700</v>
      </c>
      <c r="H375" s="4" t="str">
        <f>'BID II'!B534</f>
        <v>Belanja Perlengkapan Barang Konsumsi</v>
      </c>
      <c r="I375" s="1"/>
      <c r="J375" s="1"/>
      <c r="K375" s="91">
        <f>'BID II'!F535</f>
        <v>3000000</v>
      </c>
      <c r="L375" s="1" t="s">
        <v>1711</v>
      </c>
    </row>
    <row r="376" spans="1:13" ht="30" x14ac:dyDescent="0.25">
      <c r="A376" s="1"/>
      <c r="B376" s="1"/>
      <c r="C376" s="1"/>
      <c r="D376" s="1"/>
      <c r="E376" s="1"/>
      <c r="F376" s="1"/>
      <c r="G376" s="1488" t="s">
        <v>2702</v>
      </c>
      <c r="H376" s="4" t="str">
        <f>'BID II'!B537</f>
        <v>Belanja Bendera/ Umbul-umbul/ Spanduk</v>
      </c>
      <c r="I376" s="1"/>
      <c r="J376" s="1"/>
      <c r="K376" s="91">
        <f>'BID II'!F538</f>
        <v>90000</v>
      </c>
      <c r="L376" s="1" t="s">
        <v>1711</v>
      </c>
    </row>
    <row r="377" spans="1:13" x14ac:dyDescent="0.25">
      <c r="A377" s="1"/>
      <c r="B377" s="1"/>
      <c r="C377" s="1"/>
      <c r="D377" s="1">
        <v>5</v>
      </c>
      <c r="E377" s="1">
        <v>2</v>
      </c>
      <c r="F377" s="1">
        <v>2</v>
      </c>
      <c r="G377" s="1"/>
      <c r="H377" s="4" t="str">
        <f>'BID II'!B540</f>
        <v>Belanja Jasa Honorarium</v>
      </c>
      <c r="I377" s="1"/>
      <c r="J377" s="1"/>
      <c r="K377" s="91"/>
      <c r="L377" s="1"/>
    </row>
    <row r="378" spans="1:13" ht="60" x14ac:dyDescent="0.25">
      <c r="A378" s="1"/>
      <c r="B378" s="1"/>
      <c r="C378" s="1"/>
      <c r="D378" s="1"/>
      <c r="E378" s="1"/>
      <c r="F378" s="1"/>
      <c r="G378" s="1488" t="s">
        <v>2697</v>
      </c>
      <c r="H378" s="4" t="str">
        <f>'BID II'!B541</f>
        <v>Belanja Jasa Honorarium Ahli/ Profesi/Konsultan/Narasumber</v>
      </c>
      <c r="I378" s="1"/>
      <c r="J378" s="1"/>
      <c r="K378" s="91">
        <f>SUM('BID II'!F542:F543)</f>
        <v>6000000</v>
      </c>
      <c r="L378" s="1" t="s">
        <v>1711</v>
      </c>
    </row>
    <row r="379" spans="1:13" ht="90" x14ac:dyDescent="0.25">
      <c r="A379" s="1027">
        <v>2</v>
      </c>
      <c r="B379" s="1027">
        <v>2</v>
      </c>
      <c r="C379" s="1491" t="s">
        <v>2696</v>
      </c>
      <c r="D379" s="1027"/>
      <c r="E379" s="1027"/>
      <c r="F379" s="1027"/>
      <c r="G379" s="1027"/>
      <c r="H379" s="1028" t="str">
        <f>'BID II'!B558</f>
        <v>: Penyuluhan dan Pelatihan Bidang Kesehatan untuk Masyarakat (Pembinaan Kampung Keluarga Berkualitas)</v>
      </c>
      <c r="I379" s="1027"/>
      <c r="J379" s="1027"/>
      <c r="K379" s="1492">
        <f>SUM(K380:K386)</f>
        <v>2543600</v>
      </c>
      <c r="L379" s="1027"/>
      <c r="M379" s="83">
        <f>'BID II'!F584</f>
        <v>2543600</v>
      </c>
    </row>
    <row r="380" spans="1:13" x14ac:dyDescent="0.25">
      <c r="A380" s="1"/>
      <c r="B380" s="1"/>
      <c r="C380" s="1"/>
      <c r="D380" s="1">
        <v>5</v>
      </c>
      <c r="E380" s="1">
        <v>2</v>
      </c>
      <c r="F380" s="1"/>
      <c r="G380" s="1"/>
      <c r="H380" s="4" t="str">
        <f>'BID II'!B564</f>
        <v>Belanja Barang Jasa</v>
      </c>
      <c r="I380" s="1"/>
      <c r="J380" s="1"/>
      <c r="K380" s="91"/>
      <c r="L380" s="1"/>
    </row>
    <row r="381" spans="1:13" ht="30" x14ac:dyDescent="0.25">
      <c r="A381" s="1"/>
      <c r="B381" s="1"/>
      <c r="C381" s="1"/>
      <c r="D381" s="1"/>
      <c r="E381" s="1"/>
      <c r="F381" s="1">
        <v>1</v>
      </c>
      <c r="G381" s="1"/>
      <c r="H381" s="4" t="str">
        <f>'BID II'!B565</f>
        <v>Belanja Barang Perlengkapan</v>
      </c>
      <c r="I381" s="1"/>
      <c r="J381" s="1"/>
      <c r="K381" s="91"/>
      <c r="L381" s="1"/>
    </row>
    <row r="382" spans="1:13" ht="30" x14ac:dyDescent="0.25">
      <c r="A382" s="1"/>
      <c r="B382" s="1"/>
      <c r="C382" s="1"/>
      <c r="D382" s="1"/>
      <c r="E382" s="1"/>
      <c r="F382" s="1"/>
      <c r="G382" s="1488" t="s">
        <v>2679</v>
      </c>
      <c r="H382" s="4" t="str">
        <f>'BID II'!B566</f>
        <v>Belanja Alat Tulis Kantor dan Benda Pos</v>
      </c>
      <c r="I382" s="1"/>
      <c r="J382" s="1"/>
      <c r="K382" s="91">
        <f>SUM('BID II'!F567:F571)</f>
        <v>953600</v>
      </c>
      <c r="L382" s="1" t="s">
        <v>1711</v>
      </c>
    </row>
    <row r="383" spans="1:13" ht="30" x14ac:dyDescent="0.25">
      <c r="A383" s="1"/>
      <c r="B383" s="1"/>
      <c r="C383" s="1"/>
      <c r="D383" s="1"/>
      <c r="E383" s="1"/>
      <c r="F383" s="1"/>
      <c r="G383" s="1488" t="s">
        <v>2700</v>
      </c>
      <c r="H383" s="4" t="str">
        <f>'BID II'!B573</f>
        <v>Belanja Perlengkapan Barang Konsumsi</v>
      </c>
      <c r="I383" s="1"/>
      <c r="J383" s="1"/>
      <c r="K383" s="91">
        <f>'BID II'!F574</f>
        <v>900000</v>
      </c>
      <c r="L383" s="1" t="s">
        <v>1711</v>
      </c>
    </row>
    <row r="384" spans="1:13" ht="30" x14ac:dyDescent="0.25">
      <c r="A384" s="1"/>
      <c r="B384" s="1"/>
      <c r="C384" s="1"/>
      <c r="D384" s="1"/>
      <c r="E384" s="1"/>
      <c r="F384" s="1"/>
      <c r="G384" s="1488" t="s">
        <v>2702</v>
      </c>
      <c r="H384" s="4" t="str">
        <f>'BID II'!B576</f>
        <v>Belanja Bendera/ Umbul-umbul/ Spanduk</v>
      </c>
      <c r="I384" s="1"/>
      <c r="J384" s="1"/>
      <c r="K384" s="91">
        <f>'BID II'!F577</f>
        <v>90000</v>
      </c>
      <c r="L384" s="1" t="s">
        <v>1711</v>
      </c>
    </row>
    <row r="385" spans="1:13" x14ac:dyDescent="0.25">
      <c r="A385" s="1"/>
      <c r="B385" s="1"/>
      <c r="C385" s="1"/>
      <c r="D385" s="1">
        <v>5</v>
      </c>
      <c r="E385" s="1">
        <v>2</v>
      </c>
      <c r="F385" s="1">
        <v>2</v>
      </c>
      <c r="G385" s="1"/>
      <c r="H385" s="4" t="str">
        <f>'BID II'!B580</f>
        <v>Belanja  Jasa Honorarium</v>
      </c>
      <c r="I385" s="1"/>
      <c r="J385" s="1"/>
      <c r="K385" s="91"/>
      <c r="L385" s="1"/>
    </row>
    <row r="386" spans="1:13" ht="45" x14ac:dyDescent="0.25">
      <c r="A386" s="1"/>
      <c r="B386" s="1"/>
      <c r="C386" s="1"/>
      <c r="D386" s="1"/>
      <c r="E386" s="1"/>
      <c r="F386" s="1"/>
      <c r="G386" s="1488" t="s">
        <v>2697</v>
      </c>
      <c r="H386" s="4" t="str">
        <f>'BID II'!B581</f>
        <v>Belanja Jasa Honorarium Ahli/Profesi/Konsultan/Narasumber</v>
      </c>
      <c r="I386" s="1"/>
      <c r="J386" s="1"/>
      <c r="K386" s="91">
        <f>'BID II'!F582:F582</f>
        <v>600000</v>
      </c>
      <c r="L386" s="1" t="s">
        <v>1711</v>
      </c>
    </row>
    <row r="387" spans="1:13" ht="45" x14ac:dyDescent="0.25">
      <c r="A387" s="1027">
        <v>2</v>
      </c>
      <c r="B387" s="1027">
        <v>5</v>
      </c>
      <c r="C387" s="1491" t="s">
        <v>2696</v>
      </c>
      <c r="D387" s="1027"/>
      <c r="E387" s="1027"/>
      <c r="F387" s="1027"/>
      <c r="G387" s="1027"/>
      <c r="H387" s="1028" t="str">
        <f>'BID II'!B597</f>
        <v>Penyuluhan dan Pelatihan Bidang Kesehatan (PHBS)</v>
      </c>
      <c r="I387" s="1027"/>
      <c r="J387" s="1027"/>
      <c r="K387" s="1492">
        <f>SUM(K388:K397)</f>
        <v>15180000</v>
      </c>
      <c r="L387" s="1027"/>
      <c r="M387" s="36">
        <f>'BID II'!F626</f>
        <v>15180000</v>
      </c>
    </row>
    <row r="388" spans="1:13" x14ac:dyDescent="0.25">
      <c r="A388" s="1"/>
      <c r="B388" s="1"/>
      <c r="C388" s="1"/>
      <c r="D388" s="1">
        <v>5</v>
      </c>
      <c r="E388" s="1">
        <v>2</v>
      </c>
      <c r="F388" s="1"/>
      <c r="G388" s="1"/>
      <c r="H388" s="1" t="str">
        <f>'BID II'!B603</f>
        <v>Belanja Barang Jasa :</v>
      </c>
      <c r="I388" s="1"/>
      <c r="J388" s="1"/>
      <c r="K388" s="91"/>
      <c r="L388" s="1"/>
      <c r="M388" s="32">
        <f>K387-M387</f>
        <v>0</v>
      </c>
    </row>
    <row r="389" spans="1:13" ht="30" x14ac:dyDescent="0.25">
      <c r="A389" s="1"/>
      <c r="B389" s="1"/>
      <c r="C389" s="1"/>
      <c r="D389" s="1"/>
      <c r="E389" s="1"/>
      <c r="F389" s="1">
        <v>1</v>
      </c>
      <c r="G389" s="1"/>
      <c r="H389" s="4" t="str">
        <f>'BID II'!B604</f>
        <v>Belanja Barang Perlengkapan</v>
      </c>
      <c r="I389" s="1"/>
      <c r="J389" s="1"/>
      <c r="K389" s="91"/>
      <c r="L389" s="1"/>
    </row>
    <row r="390" spans="1:13" ht="60" x14ac:dyDescent="0.25">
      <c r="A390" s="1"/>
      <c r="B390" s="1"/>
      <c r="C390" s="1"/>
      <c r="D390" s="1"/>
      <c r="E390" s="1"/>
      <c r="F390" s="1"/>
      <c r="G390" s="1488" t="s">
        <v>2700</v>
      </c>
      <c r="H390" s="4" t="str">
        <f>'BID II'!B605</f>
        <v>Belanja Perlengkapan barang konsumsi (makan/minum) - Belanja barang konsumsi</v>
      </c>
      <c r="I390" s="1"/>
      <c r="J390" s="1"/>
      <c r="K390" s="91">
        <f>SUM('BID II'!F606)</f>
        <v>1050000</v>
      </c>
      <c r="L390" s="4" t="s">
        <v>2569</v>
      </c>
    </row>
    <row r="391" spans="1:13" ht="30" x14ac:dyDescent="0.25">
      <c r="A391" s="1"/>
      <c r="B391" s="1"/>
      <c r="C391" s="1"/>
      <c r="D391" s="1"/>
      <c r="E391" s="1"/>
      <c r="F391" s="1"/>
      <c r="G391" s="1488" t="s">
        <v>2702</v>
      </c>
      <c r="H391" s="4" t="str">
        <f>'BID II'!B608</f>
        <v>Belanja bendera/ umbul umbul/ spanduk</v>
      </c>
      <c r="I391" s="1"/>
      <c r="J391" s="1"/>
      <c r="K391" s="91">
        <f>'BID II'!F609</f>
        <v>90000</v>
      </c>
      <c r="L391" s="4" t="s">
        <v>2569</v>
      </c>
    </row>
    <row r="392" spans="1:13" ht="30" x14ac:dyDescent="0.25">
      <c r="A392" s="1"/>
      <c r="B392" s="1"/>
      <c r="C392" s="1"/>
      <c r="D392" s="1">
        <v>5</v>
      </c>
      <c r="E392" s="1">
        <v>2</v>
      </c>
      <c r="F392" s="1">
        <v>2</v>
      </c>
      <c r="G392" s="1488" t="s">
        <v>2700</v>
      </c>
      <c r="H392" s="4" t="str">
        <f>'BID II'!B612</f>
        <v>Honorararium Pelatih/Narasumber</v>
      </c>
      <c r="I392" s="1"/>
      <c r="J392" s="1"/>
      <c r="K392" s="91">
        <f>'BID II'!F613</f>
        <v>600000</v>
      </c>
      <c r="L392" s="4" t="s">
        <v>2569</v>
      </c>
    </row>
    <row r="393" spans="1:13" x14ac:dyDescent="0.25">
      <c r="A393" s="1"/>
      <c r="B393" s="1"/>
      <c r="C393" s="1"/>
      <c r="D393" s="1"/>
      <c r="E393" s="1"/>
      <c r="F393" s="1"/>
      <c r="G393" s="1"/>
      <c r="H393" s="1" t="str">
        <f>'BID II'!B615</f>
        <v>Jumat Bersih</v>
      </c>
      <c r="I393" s="1"/>
      <c r="J393" s="1"/>
      <c r="K393" s="91"/>
      <c r="L393" s="1"/>
    </row>
    <row r="394" spans="1:13" x14ac:dyDescent="0.25">
      <c r="A394" s="1"/>
      <c r="B394" s="1"/>
      <c r="C394" s="1"/>
      <c r="D394" s="1">
        <v>5</v>
      </c>
      <c r="E394" s="1">
        <v>2</v>
      </c>
      <c r="F394" s="1"/>
      <c r="G394" s="1"/>
      <c r="H394" s="4" t="str">
        <f>'BID II'!B617</f>
        <v>Belanja Barang Jasa :</v>
      </c>
      <c r="I394" s="1"/>
      <c r="J394" s="1"/>
      <c r="K394" s="91"/>
      <c r="L394" s="1"/>
    </row>
    <row r="395" spans="1:13" ht="30" x14ac:dyDescent="0.25">
      <c r="A395" s="1"/>
      <c r="B395" s="1"/>
      <c r="C395" s="1"/>
      <c r="D395" s="1"/>
      <c r="E395" s="1"/>
      <c r="F395" s="1">
        <v>1</v>
      </c>
      <c r="G395" s="1"/>
      <c r="H395" s="4" t="str">
        <f>'BID II'!B618</f>
        <v>Belanja Barang Perlengkapan</v>
      </c>
      <c r="I395" s="1"/>
      <c r="J395" s="1"/>
      <c r="K395" s="91"/>
      <c r="L395" s="1"/>
    </row>
    <row r="396" spans="1:13" ht="60" x14ac:dyDescent="0.25">
      <c r="A396" s="1"/>
      <c r="B396" s="1"/>
      <c r="C396" s="1"/>
      <c r="D396" s="1"/>
      <c r="E396" s="1"/>
      <c r="F396" s="1"/>
      <c r="G396" s="1488" t="s">
        <v>2700</v>
      </c>
      <c r="H396" s="4" t="str">
        <f>'BID II'!B619</f>
        <v>Belanja Perlengkapan barang konsumsi (makan/minum) - Belanja barang konsumsi</v>
      </c>
      <c r="I396" s="1"/>
      <c r="J396" s="1"/>
      <c r="K396" s="91">
        <f>SUM('BID II'!F620)</f>
        <v>12600000</v>
      </c>
      <c r="L396" s="4" t="s">
        <v>2569</v>
      </c>
    </row>
    <row r="397" spans="1:13" ht="30" x14ac:dyDescent="0.25">
      <c r="A397" s="1"/>
      <c r="B397" s="1"/>
      <c r="C397" s="1"/>
      <c r="D397" s="1"/>
      <c r="E397" s="1"/>
      <c r="F397" s="1"/>
      <c r="G397" s="1488" t="s">
        <v>2701</v>
      </c>
      <c r="H397" s="1" t="str">
        <f>'BID II'!B622</f>
        <v>Belanja Bahan Material</v>
      </c>
      <c r="I397" s="1"/>
      <c r="J397" s="1"/>
      <c r="K397" s="91">
        <f>SUM('BID II'!F623:F624)</f>
        <v>840000</v>
      </c>
      <c r="L397" s="4" t="s">
        <v>2569</v>
      </c>
    </row>
    <row r="398" spans="1:13" ht="75" x14ac:dyDescent="0.25">
      <c r="A398" s="1027">
        <v>2</v>
      </c>
      <c r="B398" s="1027">
        <v>2</v>
      </c>
      <c r="C398" s="1491" t="s">
        <v>2696</v>
      </c>
      <c r="D398" s="1027"/>
      <c r="E398" s="1027"/>
      <c r="F398" s="1027"/>
      <c r="G398" s="1027"/>
      <c r="H398" s="1028" t="str">
        <f>'BID II'!B639</f>
        <v>: Penyuluhan dan Pelatihan Bidang Kesehatan (Pembinaan Kader POSyandu terintegrasi/ILP)</v>
      </c>
      <c r="I398" s="1027"/>
      <c r="J398" s="1027"/>
      <c r="K398" s="1492" t="e">
        <f>SUM(K399:K406)</f>
        <v>#REF!</v>
      </c>
      <c r="L398" s="1027"/>
      <c r="M398" s="83">
        <f>'BID II'!F666</f>
        <v>68234000</v>
      </c>
    </row>
    <row r="399" spans="1:13" x14ac:dyDescent="0.25">
      <c r="A399" s="1"/>
      <c r="B399" s="1"/>
      <c r="C399" s="1"/>
      <c r="D399" s="1">
        <v>5</v>
      </c>
      <c r="E399" s="1">
        <v>2</v>
      </c>
      <c r="F399" s="1"/>
      <c r="G399" s="1"/>
      <c r="H399" s="4" t="str">
        <f>'BID II'!B644</f>
        <v>Belanja Barang dan Jasa</v>
      </c>
      <c r="I399" s="1"/>
      <c r="J399" s="1"/>
      <c r="K399" s="91"/>
      <c r="L399" s="1"/>
    </row>
    <row r="400" spans="1:13" ht="30" x14ac:dyDescent="0.25">
      <c r="A400" s="1"/>
      <c r="B400" s="1"/>
      <c r="C400" s="1"/>
      <c r="D400" s="1"/>
      <c r="E400" s="1"/>
      <c r="F400" s="1">
        <v>1</v>
      </c>
      <c r="G400" s="1"/>
      <c r="H400" s="4" t="str">
        <f>'BID II'!B645</f>
        <v>Belanaja Barang Pelengkapan</v>
      </c>
      <c r="I400" s="1"/>
      <c r="J400" s="1"/>
      <c r="K400" s="91"/>
      <c r="L400" s="1"/>
    </row>
    <row r="401" spans="1:13" ht="30" x14ac:dyDescent="0.25">
      <c r="A401" s="1"/>
      <c r="B401" s="1"/>
      <c r="C401" s="1"/>
      <c r="D401" s="1"/>
      <c r="E401" s="1"/>
      <c r="F401" s="1"/>
      <c r="G401" s="1488" t="s">
        <v>2679</v>
      </c>
      <c r="H401" s="4" t="str">
        <f>'BID II'!B646</f>
        <v>Perlangakapan Alat Tulis Kantor dan Benda POS</v>
      </c>
      <c r="I401" s="1"/>
      <c r="J401" s="1"/>
      <c r="K401" s="91">
        <f>SUM('BID II'!F647:F649)</f>
        <v>2244000</v>
      </c>
      <c r="L401" s="1" t="s">
        <v>1711</v>
      </c>
    </row>
    <row r="402" spans="1:13" ht="30" x14ac:dyDescent="0.25">
      <c r="A402" s="1"/>
      <c r="B402" s="1"/>
      <c r="C402" s="1"/>
      <c r="D402" s="1"/>
      <c r="E402" s="1"/>
      <c r="F402" s="1"/>
      <c r="G402" s="1488" t="s">
        <v>2700</v>
      </c>
      <c r="H402" s="4" t="str">
        <f>'BID II'!B651</f>
        <v>Belanja Perlengkapan Barang Konsumsi</v>
      </c>
      <c r="I402" s="1"/>
      <c r="J402" s="1"/>
      <c r="K402" s="91">
        <f>SUM('BID II'!F652)</f>
        <v>11280000</v>
      </c>
      <c r="L402" s="1" t="s">
        <v>1711</v>
      </c>
    </row>
    <row r="403" spans="1:13" ht="30" x14ac:dyDescent="0.25">
      <c r="A403" s="1"/>
      <c r="B403" s="1"/>
      <c r="C403" s="1"/>
      <c r="D403" s="1"/>
      <c r="E403" s="1"/>
      <c r="F403" s="1"/>
      <c r="G403" s="1488" t="s">
        <v>2702</v>
      </c>
      <c r="H403" s="4" t="str">
        <f>'BID II'!B655</f>
        <v>Belanja Bendera/Umbul - umbul Spanduk</v>
      </c>
      <c r="I403" s="1"/>
      <c r="J403" s="1"/>
      <c r="K403" s="91">
        <f>'BID II'!F656</f>
        <v>90000</v>
      </c>
      <c r="L403" s="1" t="s">
        <v>1711</v>
      </c>
    </row>
    <row r="404" spans="1:13" x14ac:dyDescent="0.25">
      <c r="A404" s="1"/>
      <c r="B404" s="1"/>
      <c r="C404" s="1"/>
      <c r="D404" s="1"/>
      <c r="E404" s="1"/>
      <c r="F404" s="1"/>
      <c r="G404" s="1">
        <v>90</v>
      </c>
      <c r="H404" s="4" t="e">
        <f>'BID II'!#REF!</f>
        <v>#REF!</v>
      </c>
      <c r="I404" s="1"/>
      <c r="J404" s="1"/>
      <c r="K404" s="91" t="e">
        <f>SUM('BID II'!#REF!)</f>
        <v>#REF!</v>
      </c>
      <c r="L404" s="1" t="s">
        <v>1711</v>
      </c>
    </row>
    <row r="405" spans="1:13" x14ac:dyDescent="0.25">
      <c r="A405" s="1"/>
      <c r="B405" s="1"/>
      <c r="C405" s="1"/>
      <c r="D405" s="1">
        <v>5</v>
      </c>
      <c r="E405" s="1">
        <v>2</v>
      </c>
      <c r="F405" s="1">
        <v>2</v>
      </c>
      <c r="G405" s="1"/>
      <c r="H405" s="4" t="str">
        <f>'BID II'!B659</f>
        <v>Belanja Jasa Honorarium</v>
      </c>
      <c r="I405" s="1"/>
      <c r="J405" s="1"/>
      <c r="K405" s="91"/>
      <c r="L405" s="1"/>
    </row>
    <row r="406" spans="1:13" ht="60" x14ac:dyDescent="0.25">
      <c r="A406" s="1"/>
      <c r="B406" s="1"/>
      <c r="C406" s="1"/>
      <c r="D406" s="1"/>
      <c r="E406" s="1"/>
      <c r="F406" s="1"/>
      <c r="G406" s="1488" t="s">
        <v>2697</v>
      </c>
      <c r="H406" s="4" t="str">
        <f>'BID II'!B660</f>
        <v>Belanja Jasa Honorarium Ahli/ Profesi/Konsultan/Narasumber</v>
      </c>
      <c r="I406" s="1"/>
      <c r="J406" s="1"/>
      <c r="K406" s="91">
        <f>'BID II'!F661</f>
        <v>14400000</v>
      </c>
      <c r="L406" s="1" t="s">
        <v>1711</v>
      </c>
    </row>
    <row r="407" spans="1:13" ht="60" x14ac:dyDescent="0.25">
      <c r="A407" s="1027">
        <v>2</v>
      </c>
      <c r="B407" s="1027">
        <v>2</v>
      </c>
      <c r="C407" s="1491" t="s">
        <v>2696</v>
      </c>
      <c r="D407" s="1027"/>
      <c r="E407" s="1027"/>
      <c r="F407" s="1027"/>
      <c r="G407" s="1027"/>
      <c r="H407" s="1028" t="str">
        <f>'BID II'!B678</f>
        <v>: Penyuluhan dan Pelatihan Bidang Kesehatan (Penyuluhan Narkoba dan HIV/AIDS)</v>
      </c>
      <c r="I407" s="1027"/>
      <c r="J407" s="1027"/>
      <c r="K407" s="1492">
        <f>SUM(K408:K417)</f>
        <v>15680000</v>
      </c>
      <c r="L407" s="1027"/>
      <c r="M407" s="32">
        <f>K407-'BID II'!F714</f>
        <v>-1500000</v>
      </c>
    </row>
    <row r="408" spans="1:13" x14ac:dyDescent="0.25">
      <c r="A408" s="1"/>
      <c r="B408" s="1"/>
      <c r="C408" s="1"/>
      <c r="D408" s="1">
        <v>5</v>
      </c>
      <c r="E408" s="1">
        <v>1</v>
      </c>
      <c r="F408" s="1"/>
      <c r="G408" s="1"/>
      <c r="H408" s="1" t="str">
        <f>'BID II'!B684</f>
        <v>Belanja Barang Jasa</v>
      </c>
      <c r="I408" s="1"/>
      <c r="J408" s="1"/>
      <c r="K408" s="91"/>
      <c r="L408" s="1"/>
    </row>
    <row r="409" spans="1:13" ht="30" x14ac:dyDescent="0.25">
      <c r="A409" s="1"/>
      <c r="B409" s="1"/>
      <c r="C409" s="1"/>
      <c r="D409" s="1"/>
      <c r="E409" s="1"/>
      <c r="F409" s="1">
        <v>1</v>
      </c>
      <c r="G409" s="1"/>
      <c r="H409" s="4" t="str">
        <f>'BID II'!B685</f>
        <v>Belanja Barang Perlengkapan</v>
      </c>
      <c r="I409" s="1"/>
      <c r="J409" s="1"/>
      <c r="K409" s="91"/>
      <c r="L409" s="1"/>
    </row>
    <row r="410" spans="1:13" ht="30" x14ac:dyDescent="0.25">
      <c r="A410" s="1"/>
      <c r="B410" s="1"/>
      <c r="C410" s="1"/>
      <c r="D410" s="1"/>
      <c r="E410" s="1"/>
      <c r="F410" s="1"/>
      <c r="G410" s="1488" t="s">
        <v>2679</v>
      </c>
      <c r="H410" s="4" t="str">
        <f>'BID II'!B686</f>
        <v>Belanja Alat Tulis Kantor dan Benda Pos</v>
      </c>
      <c r="I410" s="1"/>
      <c r="J410" s="1"/>
      <c r="K410" s="91">
        <f>SUM('BID II'!F687:F689)</f>
        <v>1238500</v>
      </c>
      <c r="L410" s="4" t="s">
        <v>2570</v>
      </c>
    </row>
    <row r="411" spans="1:13" ht="30" x14ac:dyDescent="0.25">
      <c r="A411" s="1"/>
      <c r="B411" s="1"/>
      <c r="C411" s="1"/>
      <c r="D411" s="1"/>
      <c r="E411" s="1"/>
      <c r="F411" s="1"/>
      <c r="G411" s="1488" t="s">
        <v>2700</v>
      </c>
      <c r="H411" s="4" t="str">
        <f>'BID II'!B691</f>
        <v>Belanja Perlengkapan Barang Konsumsi</v>
      </c>
      <c r="I411" s="1"/>
      <c r="J411" s="1"/>
      <c r="K411" s="91">
        <f>'BID II'!F692</f>
        <v>450000</v>
      </c>
      <c r="L411" s="4" t="s">
        <v>2570</v>
      </c>
    </row>
    <row r="412" spans="1:13" ht="30" x14ac:dyDescent="0.25">
      <c r="A412" s="1"/>
      <c r="B412" s="1"/>
      <c r="C412" s="1"/>
      <c r="D412" s="1"/>
      <c r="E412" s="1"/>
      <c r="F412" s="1"/>
      <c r="G412" s="1488" t="s">
        <v>2702</v>
      </c>
      <c r="H412" s="4" t="str">
        <f>'BID II'!B695</f>
        <v>Belanja Bendera/ Umbul-umbul/ Spanduk</v>
      </c>
      <c r="I412" s="1"/>
      <c r="J412" s="1"/>
      <c r="K412" s="91">
        <f>'BID II'!F696</f>
        <v>91500</v>
      </c>
      <c r="L412" s="4" t="s">
        <v>2570</v>
      </c>
    </row>
    <row r="413" spans="1:13" x14ac:dyDescent="0.25">
      <c r="A413" s="1"/>
      <c r="B413" s="1"/>
      <c r="C413" s="1"/>
      <c r="D413" s="1">
        <v>5</v>
      </c>
      <c r="E413" s="1">
        <v>2</v>
      </c>
      <c r="F413" s="1">
        <v>2</v>
      </c>
      <c r="G413" s="1"/>
      <c r="H413" s="4" t="str">
        <f>'BID II'!B698</f>
        <v>Belanja Jasa Honorarium</v>
      </c>
      <c r="I413" s="1"/>
      <c r="J413" s="1"/>
      <c r="K413" s="91"/>
      <c r="L413" s="1"/>
    </row>
    <row r="414" spans="1:13" ht="45" x14ac:dyDescent="0.25">
      <c r="A414" s="1"/>
      <c r="B414" s="1"/>
      <c r="C414" s="1"/>
      <c r="D414" s="1"/>
      <c r="E414" s="1"/>
      <c r="F414" s="1"/>
      <c r="G414" s="1488" t="s">
        <v>2679</v>
      </c>
      <c r="H414" s="4" t="str">
        <f>'BID II'!B699</f>
        <v>Belanja Jasa Honorarium Tim yang Melaksanakan Kegiatan (TPK )</v>
      </c>
      <c r="I414" s="1"/>
      <c r="J414" s="1"/>
      <c r="K414" s="91">
        <f>SUM('BID II'!F700:F702)</f>
        <v>1150000</v>
      </c>
      <c r="L414" s="4" t="s">
        <v>2570</v>
      </c>
    </row>
    <row r="415" spans="1:13" ht="60" x14ac:dyDescent="0.25">
      <c r="A415" s="1"/>
      <c r="B415" s="1"/>
      <c r="C415" s="1"/>
      <c r="D415" s="1"/>
      <c r="E415" s="1"/>
      <c r="F415" s="1"/>
      <c r="G415" s="1488" t="s">
        <v>2697</v>
      </c>
      <c r="H415" s="4" t="str">
        <f>'BID II'!B704</f>
        <v>Belanja Jasa Honorarium Ahli/ Profesi/Konsultan/Narasumber</v>
      </c>
      <c r="I415" s="1"/>
      <c r="J415" s="1"/>
      <c r="K415" s="91">
        <f>SUM('BID II'!F705:F706)</f>
        <v>800000</v>
      </c>
      <c r="L415" s="4" t="s">
        <v>2570</v>
      </c>
    </row>
    <row r="416" spans="1:13" x14ac:dyDescent="0.25">
      <c r="A416" s="1"/>
      <c r="B416" s="1"/>
      <c r="C416" s="1"/>
      <c r="D416" s="1">
        <v>5</v>
      </c>
      <c r="E416" s="1">
        <v>2</v>
      </c>
      <c r="F416" s="1">
        <v>4</v>
      </c>
      <c r="G416" s="1"/>
      <c r="H416" s="4" t="str">
        <f>'BID II'!B708</f>
        <v>Belanja Jasa Sewa</v>
      </c>
      <c r="I416" s="1"/>
      <c r="J416" s="1"/>
      <c r="K416" s="91"/>
      <c r="L416" s="1"/>
    </row>
    <row r="417" spans="1:13" ht="30" x14ac:dyDescent="0.25">
      <c r="A417" s="1"/>
      <c r="B417" s="1"/>
      <c r="C417" s="1"/>
      <c r="D417" s="1"/>
      <c r="E417" s="1"/>
      <c r="F417" s="1"/>
      <c r="G417" s="1488" t="s">
        <v>2694</v>
      </c>
      <c r="H417" s="4" t="str">
        <f>'BID II'!B709</f>
        <v>Belanja Jasa Sewa Alat Perlengkapan</v>
      </c>
      <c r="I417" s="1"/>
      <c r="J417" s="1"/>
      <c r="K417" s="91">
        <f>SUM('BID II'!F710:F712)</f>
        <v>11950000</v>
      </c>
      <c r="L417" s="4" t="s">
        <v>2570</v>
      </c>
    </row>
    <row r="418" spans="1:13" ht="45" x14ac:dyDescent="0.25">
      <c r="A418" s="1027">
        <v>2</v>
      </c>
      <c r="B418" s="1027">
        <v>2</v>
      </c>
      <c r="C418" s="1491" t="s">
        <v>2696</v>
      </c>
      <c r="D418" s="1027"/>
      <c r="E418" s="1027"/>
      <c r="F418" s="1027"/>
      <c r="G418" s="1027"/>
      <c r="H418" s="1028" t="str">
        <f>'BID II'!B729</f>
        <v>: Penyuluhan dan Pelatihan Bidang Kesehatan (Posbindu)</v>
      </c>
      <c r="I418" s="1027"/>
      <c r="J418" s="1027"/>
      <c r="K418" s="1492" t="e">
        <f>SUM(K419:K428)</f>
        <v>#REF!</v>
      </c>
      <c r="L418" s="1027"/>
      <c r="M418" s="83">
        <f>'BID II'!F748</f>
        <v>14370000</v>
      </c>
    </row>
    <row r="419" spans="1:13" x14ac:dyDescent="0.25">
      <c r="A419" s="1"/>
      <c r="B419" s="1"/>
      <c r="C419" s="1"/>
      <c r="D419" s="1">
        <v>5</v>
      </c>
      <c r="E419" s="1">
        <v>2</v>
      </c>
      <c r="F419" s="1"/>
      <c r="G419" s="1"/>
      <c r="H419" s="4" t="e">
        <f>'BID II'!#REF!</f>
        <v>#REF!</v>
      </c>
      <c r="I419" s="1"/>
      <c r="J419" s="1"/>
      <c r="K419" s="91"/>
      <c r="L419" s="1"/>
    </row>
    <row r="420" spans="1:13" x14ac:dyDescent="0.25">
      <c r="A420" s="1"/>
      <c r="B420" s="1"/>
      <c r="C420" s="1"/>
      <c r="D420" s="1"/>
      <c r="E420" s="1"/>
      <c r="F420" s="1">
        <v>1</v>
      </c>
      <c r="G420" s="1"/>
      <c r="H420" s="4" t="e">
        <f>'BID II'!#REF!</f>
        <v>#REF!</v>
      </c>
      <c r="I420" s="1"/>
      <c r="J420" s="1"/>
      <c r="K420" s="91"/>
      <c r="L420" s="1"/>
    </row>
    <row r="421" spans="1:13" ht="30" x14ac:dyDescent="0.25">
      <c r="A421" s="1"/>
      <c r="B421" s="1"/>
      <c r="C421" s="1"/>
      <c r="D421" s="1"/>
      <c r="E421" s="1"/>
      <c r="F421" s="1"/>
      <c r="G421" s="1488" t="s">
        <v>2679</v>
      </c>
      <c r="H421" s="4" t="e">
        <f>'BID II'!#REF!</f>
        <v>#REF!</v>
      </c>
      <c r="I421" s="1"/>
      <c r="J421" s="1"/>
      <c r="K421" s="91" t="e">
        <f>SUM('BID II'!#REF!)</f>
        <v>#REF!</v>
      </c>
      <c r="L421" s="4" t="s">
        <v>2569</v>
      </c>
    </row>
    <row r="422" spans="1:13" ht="30" x14ac:dyDescent="0.25">
      <c r="A422" s="1"/>
      <c r="B422" s="1"/>
      <c r="C422" s="1"/>
      <c r="D422" s="1"/>
      <c r="E422" s="1"/>
      <c r="F422" s="1"/>
      <c r="G422" s="1488" t="s">
        <v>2700</v>
      </c>
      <c r="H422" s="4" t="e">
        <f>'BID II'!#REF!</f>
        <v>#REF!</v>
      </c>
      <c r="I422" s="1"/>
      <c r="J422" s="1"/>
      <c r="K422" s="91" t="e">
        <f>'BID II'!#REF!</f>
        <v>#REF!</v>
      </c>
      <c r="L422" s="4" t="s">
        <v>2569</v>
      </c>
    </row>
    <row r="423" spans="1:13" ht="30" x14ac:dyDescent="0.25">
      <c r="A423" s="1"/>
      <c r="B423" s="1"/>
      <c r="C423" s="1"/>
      <c r="D423" s="1"/>
      <c r="E423" s="1"/>
      <c r="F423" s="1"/>
      <c r="G423" s="1">
        <v>90</v>
      </c>
      <c r="H423" s="4" t="e">
        <f>'BID II'!#REF!</f>
        <v>#REF!</v>
      </c>
      <c r="I423" s="1"/>
      <c r="J423" s="1"/>
      <c r="K423" s="91" t="e">
        <f>SUM('BID II'!#REF!)</f>
        <v>#REF!</v>
      </c>
      <c r="L423" s="4" t="s">
        <v>2569</v>
      </c>
    </row>
    <row r="424" spans="1:13" ht="30" x14ac:dyDescent="0.25">
      <c r="A424" s="1"/>
      <c r="B424" s="1"/>
      <c r="C424" s="1"/>
      <c r="D424" s="1"/>
      <c r="E424" s="1"/>
      <c r="F424" s="1"/>
      <c r="G424" s="1488" t="s">
        <v>2700</v>
      </c>
      <c r="H424" s="4" t="str">
        <f>'BID II'!B735</f>
        <v>Belanja Perlengkapan Barang Konsumsi</v>
      </c>
      <c r="I424" s="1"/>
      <c r="J424" s="1"/>
      <c r="K424" s="91">
        <f>SUM('BID II'!F736)</f>
        <v>900000</v>
      </c>
      <c r="L424" s="4" t="s">
        <v>2569</v>
      </c>
    </row>
    <row r="425" spans="1:13" ht="30" x14ac:dyDescent="0.25">
      <c r="A425" s="1"/>
      <c r="B425" s="1"/>
      <c r="C425" s="1"/>
      <c r="D425" s="1"/>
      <c r="E425" s="1"/>
      <c r="F425" s="1"/>
      <c r="G425" s="1488" t="s">
        <v>2701</v>
      </c>
      <c r="H425" s="4" t="str">
        <f>'BID II'!B738</f>
        <v>Belanja Bahan/Material</v>
      </c>
      <c r="I425" s="1"/>
      <c r="J425" s="1"/>
      <c r="K425" s="91">
        <f>SUM('BID II'!F739:F740)</f>
        <v>1380000</v>
      </c>
      <c r="L425" s="4" t="s">
        <v>2569</v>
      </c>
    </row>
    <row r="426" spans="1:13" ht="30" x14ac:dyDescent="0.25">
      <c r="A426" s="1"/>
      <c r="B426" s="1"/>
      <c r="C426" s="1"/>
      <c r="D426" s="1"/>
      <c r="E426" s="1"/>
      <c r="F426" s="1"/>
      <c r="G426" s="1488" t="s">
        <v>2702</v>
      </c>
      <c r="H426" s="4" t="str">
        <f>'BID II'!B741</f>
        <v>Belanja Bendera/Umbul - umbul Spanduk</v>
      </c>
      <c r="I426" s="1"/>
      <c r="J426" s="1"/>
      <c r="K426" s="91">
        <f>'BID II'!F742</f>
        <v>90000</v>
      </c>
      <c r="L426" s="4" t="s">
        <v>2569</v>
      </c>
    </row>
    <row r="427" spans="1:13" x14ac:dyDescent="0.25">
      <c r="A427" s="1"/>
      <c r="B427" s="1"/>
      <c r="C427" s="1"/>
      <c r="D427" s="1">
        <v>5</v>
      </c>
      <c r="E427" s="1">
        <v>2</v>
      </c>
      <c r="F427" s="1">
        <v>2</v>
      </c>
      <c r="G427" s="1"/>
      <c r="H427" s="4" t="str">
        <f>'BID II'!B744</f>
        <v>Belanja Jasa Honorarium</v>
      </c>
      <c r="I427" s="1"/>
      <c r="J427" s="1"/>
      <c r="K427" s="91"/>
      <c r="L427" s="1"/>
    </row>
    <row r="428" spans="1:13" ht="30" x14ac:dyDescent="0.25">
      <c r="A428" s="1"/>
      <c r="B428" s="1"/>
      <c r="C428" s="1"/>
      <c r="D428" s="1"/>
      <c r="E428" s="1"/>
      <c r="F428" s="1"/>
      <c r="G428" s="1488" t="s">
        <v>2699</v>
      </c>
      <c r="H428" s="4" t="str">
        <f>'BID II'!B745</f>
        <v>Belanja Jasa Honorarium Petugas</v>
      </c>
      <c r="I428" s="1"/>
      <c r="J428" s="1"/>
      <c r="K428" s="91">
        <f>SUM('BID II'!F746)</f>
        <v>12000000</v>
      </c>
      <c r="L428" s="4" t="s">
        <v>2569</v>
      </c>
    </row>
    <row r="429" spans="1:13" ht="60" x14ac:dyDescent="0.25">
      <c r="A429" s="1027">
        <v>2</v>
      </c>
      <c r="B429" s="1027">
        <v>2</v>
      </c>
      <c r="C429" s="1491" t="s">
        <v>2696</v>
      </c>
      <c r="D429" s="1027"/>
      <c r="E429" s="1027"/>
      <c r="F429" s="1027"/>
      <c r="G429" s="1027"/>
      <c r="H429" s="1028" t="str">
        <f>'BID II'!B762</f>
        <v>: Penyuluhan dan Pelatihan Bidang Kesehatan ( Penyuluhan KB )</v>
      </c>
      <c r="I429" s="1027"/>
      <c r="J429" s="1027"/>
      <c r="K429" s="1492">
        <f>SUM(K430:K439)</f>
        <v>17990000</v>
      </c>
      <c r="L429" s="1027"/>
      <c r="M429" s="32">
        <f>'BID II'!F791</f>
        <v>17990000</v>
      </c>
    </row>
    <row r="430" spans="1:13" x14ac:dyDescent="0.25">
      <c r="A430" s="1"/>
      <c r="B430" s="1"/>
      <c r="C430" s="1"/>
      <c r="D430" s="1">
        <v>5</v>
      </c>
      <c r="E430" s="1">
        <v>2</v>
      </c>
      <c r="F430" s="1"/>
      <c r="G430" s="1"/>
      <c r="H430" s="4" t="str">
        <f>'BID II'!B768</f>
        <v>Belanja Barang Jasa</v>
      </c>
      <c r="I430" s="1"/>
      <c r="J430" s="1"/>
      <c r="K430" s="91"/>
      <c r="L430" s="1"/>
    </row>
    <row r="431" spans="1:13" ht="30" x14ac:dyDescent="0.25">
      <c r="A431" s="1"/>
      <c r="B431" s="1"/>
      <c r="C431" s="1"/>
      <c r="D431" s="1"/>
      <c r="E431" s="1"/>
      <c r="F431" s="1">
        <v>1</v>
      </c>
      <c r="G431" s="1"/>
      <c r="H431" s="4" t="str">
        <f>'BID II'!B769</f>
        <v>Belanja Barang Perlengkapan</v>
      </c>
      <c r="I431" s="1"/>
      <c r="J431" s="1"/>
      <c r="K431" s="91"/>
      <c r="L431" s="1"/>
    </row>
    <row r="432" spans="1:13" ht="30" x14ac:dyDescent="0.25">
      <c r="A432" s="1"/>
      <c r="B432" s="1"/>
      <c r="C432" s="1"/>
      <c r="D432" s="1"/>
      <c r="E432" s="1"/>
      <c r="F432" s="1"/>
      <c r="G432" s="1488" t="s">
        <v>2700</v>
      </c>
      <c r="H432" s="4" t="str">
        <f>'BID II'!B770</f>
        <v>Belanja Perlengkapan Barang Konsumsi</v>
      </c>
      <c r="I432" s="1"/>
      <c r="J432" s="1"/>
      <c r="K432" s="91">
        <f>SUM('BID II'!F771:F772)</f>
        <v>1950000</v>
      </c>
      <c r="L432" s="4" t="s">
        <v>2569</v>
      </c>
    </row>
    <row r="433" spans="1:13" ht="30" x14ac:dyDescent="0.25">
      <c r="A433" s="1"/>
      <c r="B433" s="1"/>
      <c r="C433" s="1"/>
      <c r="D433" s="1"/>
      <c r="E433" s="1"/>
      <c r="F433" s="1"/>
      <c r="G433" s="1488" t="s">
        <v>2702</v>
      </c>
      <c r="H433" s="4" t="str">
        <f>'BID II'!B773</f>
        <v>Belanja Bendera/ Umbul-umbul/ Spanduk</v>
      </c>
      <c r="I433" s="1"/>
      <c r="J433" s="1"/>
      <c r="K433" s="91">
        <f>'BID II'!F774</f>
        <v>90000</v>
      </c>
      <c r="L433" s="4" t="s">
        <v>2569</v>
      </c>
    </row>
    <row r="434" spans="1:13" x14ac:dyDescent="0.25">
      <c r="A434" s="1"/>
      <c r="B434" s="1"/>
      <c r="C434" s="1"/>
      <c r="D434" s="1">
        <v>5</v>
      </c>
      <c r="E434" s="1">
        <v>2</v>
      </c>
      <c r="F434" s="1">
        <v>2</v>
      </c>
      <c r="G434" s="1"/>
      <c r="H434" s="4" t="str">
        <f>'BID II'!B775</f>
        <v>Belanja Jasa Honorarium</v>
      </c>
      <c r="I434" s="1"/>
      <c r="J434" s="1"/>
      <c r="K434" s="91"/>
      <c r="L434" s="4"/>
    </row>
    <row r="435" spans="1:13" ht="45" x14ac:dyDescent="0.25">
      <c r="A435" s="1"/>
      <c r="B435" s="1"/>
      <c r="C435" s="1"/>
      <c r="D435" s="1"/>
      <c r="E435" s="1"/>
      <c r="F435" s="1"/>
      <c r="G435" s="1488" t="s">
        <v>2679</v>
      </c>
      <c r="H435" s="4" t="str">
        <f>'BID II'!B776</f>
        <v>Belanja Jasa Honorarium Tim yang Melaksanakan Kegiatan (TPK )</v>
      </c>
      <c r="I435" s="1"/>
      <c r="J435" s="1"/>
      <c r="K435" s="91">
        <f>SUM('BID II'!F777:F779)</f>
        <v>1150000</v>
      </c>
      <c r="L435" s="4" t="s">
        <v>2569</v>
      </c>
    </row>
    <row r="436" spans="1:13" ht="60" x14ac:dyDescent="0.25">
      <c r="A436" s="1"/>
      <c r="B436" s="1"/>
      <c r="C436" s="1"/>
      <c r="D436" s="1"/>
      <c r="E436" s="1"/>
      <c r="F436" s="1"/>
      <c r="G436" s="1488" t="s">
        <v>2697</v>
      </c>
      <c r="H436" s="4" t="str">
        <f>'BID II'!B780</f>
        <v>Belanja Jasa Honorarium Ahli/ Profesi/Konsultan/Narasumber</v>
      </c>
      <c r="I436" s="1"/>
      <c r="J436" s="1"/>
      <c r="K436" s="91">
        <f>'BID II'!F781</f>
        <v>600000</v>
      </c>
      <c r="L436" s="4" t="s">
        <v>2569</v>
      </c>
    </row>
    <row r="437" spans="1:13" ht="30" x14ac:dyDescent="0.25">
      <c r="A437" s="1"/>
      <c r="B437" s="1"/>
      <c r="C437" s="1"/>
      <c r="D437" s="1"/>
      <c r="E437" s="1"/>
      <c r="F437" s="1"/>
      <c r="G437" s="1488" t="s">
        <v>2699</v>
      </c>
      <c r="H437" s="4" t="str">
        <f>'BID II'!B782</f>
        <v>Belanja Jasa Honorarium Petugas</v>
      </c>
      <c r="I437" s="1"/>
      <c r="J437" s="1"/>
      <c r="K437" s="91">
        <f>'BID II'!F783</f>
        <v>250000</v>
      </c>
      <c r="L437" s="4" t="s">
        <v>2569</v>
      </c>
    </row>
    <row r="438" spans="1:13" x14ac:dyDescent="0.25">
      <c r="A438" s="1"/>
      <c r="B438" s="1"/>
      <c r="C438" s="1"/>
      <c r="D438" s="1">
        <v>5</v>
      </c>
      <c r="E438" s="1">
        <v>2</v>
      </c>
      <c r="F438" s="1">
        <v>4</v>
      </c>
      <c r="G438" s="1"/>
      <c r="H438" s="4" t="str">
        <f>'BID II'!B784</f>
        <v>Belanja Jasa Sewa</v>
      </c>
      <c r="I438" s="1"/>
      <c r="J438" s="1"/>
      <c r="K438" s="91"/>
      <c r="L438" s="4"/>
    </row>
    <row r="439" spans="1:13" ht="30" x14ac:dyDescent="0.25">
      <c r="A439" s="1"/>
      <c r="B439" s="1"/>
      <c r="C439" s="1"/>
      <c r="D439" s="1"/>
      <c r="E439" s="1"/>
      <c r="F439" s="1"/>
      <c r="G439" s="1488" t="s">
        <v>2694</v>
      </c>
      <c r="H439" s="4" t="str">
        <f>'BID II'!B785</f>
        <v>Belanja Jasa Sewa Sarana/Perlengkapan</v>
      </c>
      <c r="I439" s="1"/>
      <c r="J439" s="1"/>
      <c r="K439" s="91">
        <f>SUM('BID II'!F786:F789)</f>
        <v>13950000</v>
      </c>
      <c r="L439" s="4" t="s">
        <v>2569</v>
      </c>
    </row>
    <row r="440" spans="1:13" ht="60" x14ac:dyDescent="0.25">
      <c r="A440" s="1027">
        <v>2</v>
      </c>
      <c r="B440" s="1027">
        <v>2</v>
      </c>
      <c r="C440" s="1491" t="s">
        <v>2696</v>
      </c>
      <c r="D440" s="1027"/>
      <c r="E440" s="1027"/>
      <c r="F440" s="1027"/>
      <c r="G440" s="1027"/>
      <c r="H440" s="1028" t="str">
        <f>'BID II'!B805</f>
        <v>: Penyuluhan dan Pelatihan Bidang Kesehatan(Sosialisasi Germas)</v>
      </c>
      <c r="I440" s="1027"/>
      <c r="J440" s="1027"/>
      <c r="K440" s="1492">
        <f>SUM(K441:K445)</f>
        <v>2070000</v>
      </c>
      <c r="L440" s="1027"/>
      <c r="M440" s="32">
        <f>'BID II'!F822</f>
        <v>2070000</v>
      </c>
    </row>
    <row r="441" spans="1:13" x14ac:dyDescent="0.25">
      <c r="A441" s="1"/>
      <c r="B441" s="1"/>
      <c r="C441" s="1"/>
      <c r="D441" s="1">
        <v>5</v>
      </c>
      <c r="E441" s="1">
        <v>2</v>
      </c>
      <c r="F441" s="1"/>
      <c r="G441" s="1"/>
      <c r="H441" s="4" t="str">
        <f>'BID II'!B810</f>
        <v>Belanja Barang Jasa</v>
      </c>
      <c r="I441" s="1"/>
      <c r="J441" s="1"/>
      <c r="K441" s="91"/>
      <c r="L441" s="1"/>
    </row>
    <row r="442" spans="1:13" ht="30" x14ac:dyDescent="0.25">
      <c r="A442" s="1"/>
      <c r="B442" s="1"/>
      <c r="C442" s="1"/>
      <c r="D442" s="1"/>
      <c r="E442" s="1"/>
      <c r="F442" s="1">
        <v>1</v>
      </c>
      <c r="G442" s="1"/>
      <c r="H442" s="4" t="str">
        <f>'BID II'!B811</f>
        <v>Belanja Barang Perlengkapan</v>
      </c>
      <c r="I442" s="1"/>
      <c r="J442" s="1"/>
      <c r="K442" s="91"/>
      <c r="L442" s="1"/>
    </row>
    <row r="443" spans="1:13" ht="30" x14ac:dyDescent="0.25">
      <c r="A443" s="1"/>
      <c r="B443" s="1"/>
      <c r="C443" s="1"/>
      <c r="D443" s="1"/>
      <c r="E443" s="1"/>
      <c r="F443" s="1"/>
      <c r="G443" s="1488" t="s">
        <v>2700</v>
      </c>
      <c r="H443" s="4" t="str">
        <f>'BID II'!B812</f>
        <v>Belanja Perlengkapan Barang Konsumsi</v>
      </c>
      <c r="I443" s="1"/>
      <c r="J443" s="1"/>
      <c r="K443" s="91">
        <f>'BID II'!F813</f>
        <v>1380000</v>
      </c>
      <c r="L443" s="4" t="s">
        <v>2569</v>
      </c>
    </row>
    <row r="444" spans="1:13" ht="30" x14ac:dyDescent="0.25">
      <c r="A444" s="1"/>
      <c r="B444" s="1"/>
      <c r="C444" s="1"/>
      <c r="D444" s="1"/>
      <c r="E444" s="1"/>
      <c r="F444" s="1"/>
      <c r="G444" s="1488" t="s">
        <v>2702</v>
      </c>
      <c r="H444" s="4" t="str">
        <f>'BID II'!B815</f>
        <v>Belanja Bendera/ Umbul-umbul/ Spanduk</v>
      </c>
      <c r="I444" s="1"/>
      <c r="J444" s="1"/>
      <c r="K444" s="91">
        <f>'BID II'!F816</f>
        <v>90000</v>
      </c>
      <c r="L444" s="4" t="s">
        <v>2569</v>
      </c>
    </row>
    <row r="445" spans="1:13" ht="60" x14ac:dyDescent="0.25">
      <c r="A445" s="1"/>
      <c r="B445" s="1"/>
      <c r="C445" s="1"/>
      <c r="D445" s="1">
        <v>5</v>
      </c>
      <c r="E445" s="1">
        <v>2</v>
      </c>
      <c r="F445" s="1">
        <v>2</v>
      </c>
      <c r="G445" s="1488" t="s">
        <v>2697</v>
      </c>
      <c r="H445" s="4" t="str">
        <f>'BID II'!B818</f>
        <v>Belanja Jasa Honorarium Ahli/ Profesi/Konsultan/Narasumber</v>
      </c>
      <c r="I445" s="1"/>
      <c r="J445" s="1"/>
      <c r="K445" s="91">
        <f>'BID II'!F819</f>
        <v>600000</v>
      </c>
      <c r="L445" s="4" t="s">
        <v>2569</v>
      </c>
    </row>
    <row r="446" spans="1:13" ht="105" x14ac:dyDescent="0.25">
      <c r="A446" s="1027">
        <v>2</v>
      </c>
      <c r="B446" s="1027">
        <v>2</v>
      </c>
      <c r="C446" s="1491" t="s">
        <v>2696</v>
      </c>
      <c r="D446" s="1027"/>
      <c r="E446" s="1027"/>
      <c r="F446" s="1027"/>
      <c r="G446" s="1027"/>
      <c r="H446" s="1028" t="str">
        <f>'BID II'!B836</f>
        <v>:Penyuluhan dan Pelatihan Bidang Kesehatan Untuk Masyarakat (Penyelenggaraan Pembinaan dan Lomba PMT)</v>
      </c>
      <c r="I446" s="1027"/>
      <c r="J446" s="1027"/>
      <c r="K446" s="1492">
        <f>SUM(K449:K461)</f>
        <v>11391000</v>
      </c>
      <c r="L446" s="1027"/>
      <c r="M446" s="83">
        <f>'BID II'!F886</f>
        <v>11391000</v>
      </c>
    </row>
    <row r="447" spans="1:13" x14ac:dyDescent="0.25">
      <c r="A447" s="1"/>
      <c r="B447" s="1"/>
      <c r="C447" s="1"/>
      <c r="D447" s="1">
        <v>5</v>
      </c>
      <c r="E447" s="1">
        <v>2</v>
      </c>
      <c r="F447" s="1"/>
      <c r="G447" s="1"/>
      <c r="H447" s="4" t="str">
        <f>'BID II'!B842</f>
        <v>Belanja Barang Jasa :</v>
      </c>
      <c r="I447" s="1"/>
      <c r="J447" s="1"/>
      <c r="K447" s="91"/>
      <c r="L447" s="1"/>
    </row>
    <row r="448" spans="1:13" ht="30" x14ac:dyDescent="0.25">
      <c r="A448" s="1"/>
      <c r="B448" s="1"/>
      <c r="C448" s="1"/>
      <c r="D448" s="1"/>
      <c r="E448" s="1"/>
      <c r="F448" s="1">
        <v>1</v>
      </c>
      <c r="G448" s="1"/>
      <c r="H448" s="4" t="str">
        <f>'BID II'!B843</f>
        <v>Belanja Barang Perlengkapan</v>
      </c>
      <c r="I448" s="1"/>
      <c r="J448" s="1"/>
      <c r="K448" s="91"/>
      <c r="L448" s="1"/>
    </row>
    <row r="449" spans="1:13" ht="45" x14ac:dyDescent="0.25">
      <c r="A449" s="1"/>
      <c r="B449" s="1"/>
      <c r="C449" s="1"/>
      <c r="D449" s="1"/>
      <c r="E449" s="1"/>
      <c r="F449" s="1"/>
      <c r="G449" s="1488" t="s">
        <v>2679</v>
      </c>
      <c r="H449" s="4" t="str">
        <f>'BID II'!B844</f>
        <v>Belanja Perlengkapan Alat Tulis Kantor dan Benda Pos</v>
      </c>
      <c r="I449" s="1"/>
      <c r="J449" s="1"/>
      <c r="K449" s="91">
        <f>'BID II'!F845+'BID II'!F846+'BID II'!F847+'BID II'!F848</f>
        <v>766000</v>
      </c>
      <c r="L449" s="4" t="s">
        <v>2570</v>
      </c>
    </row>
    <row r="450" spans="1:13" ht="30" x14ac:dyDescent="0.25">
      <c r="A450" s="1"/>
      <c r="B450" s="1"/>
      <c r="C450" s="1"/>
      <c r="D450" s="1"/>
      <c r="E450" s="1"/>
      <c r="F450" s="1"/>
      <c r="G450" s="1488" t="s">
        <v>2700</v>
      </c>
      <c r="H450" s="4" t="str">
        <f>'BID II'!B850</f>
        <v>Belanja Perlengkapan Barang Konsumsi</v>
      </c>
      <c r="I450" s="1"/>
      <c r="J450" s="1"/>
      <c r="K450" s="91">
        <f>'BID II'!F851</f>
        <v>1050000</v>
      </c>
      <c r="L450" s="4" t="s">
        <v>2570</v>
      </c>
    </row>
    <row r="451" spans="1:13" x14ac:dyDescent="0.25">
      <c r="A451" s="1"/>
      <c r="B451" s="1"/>
      <c r="C451" s="1"/>
      <c r="D451" s="1">
        <v>5</v>
      </c>
      <c r="E451" s="1">
        <v>2</v>
      </c>
      <c r="F451" s="1">
        <v>2</v>
      </c>
      <c r="G451" s="1"/>
      <c r="H451" s="4" t="str">
        <f>'BID II'!B853</f>
        <v>Belanja Jasa Honorarium</v>
      </c>
      <c r="I451" s="1"/>
      <c r="J451" s="1"/>
      <c r="K451" s="91"/>
      <c r="L451" s="1"/>
    </row>
    <row r="452" spans="1:13" ht="30" x14ac:dyDescent="0.25">
      <c r="A452" s="1"/>
      <c r="B452" s="1"/>
      <c r="C452" s="1"/>
      <c r="D452" s="1"/>
      <c r="E452" s="1"/>
      <c r="F452" s="1"/>
      <c r="G452" s="1488" t="s">
        <v>2697</v>
      </c>
      <c r="H452" s="4" t="str">
        <f>'BID II'!B854</f>
        <v>Belanja Honorarium Pelatih/Narasumber</v>
      </c>
      <c r="I452" s="1"/>
      <c r="J452" s="1"/>
      <c r="K452" s="91">
        <f>'BID II'!F855</f>
        <v>600000</v>
      </c>
      <c r="L452" s="4" t="s">
        <v>2570</v>
      </c>
    </row>
    <row r="453" spans="1:13" x14ac:dyDescent="0.25">
      <c r="A453" s="1"/>
      <c r="B453" s="1"/>
      <c r="C453" s="1"/>
      <c r="D453" s="1"/>
      <c r="E453" s="1"/>
      <c r="F453" s="1"/>
      <c r="G453" s="1"/>
      <c r="H453" s="1" t="str">
        <f>'BID II'!B857</f>
        <v>Kegiatan Lomba</v>
      </c>
      <c r="I453" s="1"/>
      <c r="J453" s="1"/>
      <c r="K453" s="91"/>
      <c r="L453" s="1"/>
    </row>
    <row r="454" spans="1:13" ht="30" x14ac:dyDescent="0.25">
      <c r="A454" s="1"/>
      <c r="B454" s="1"/>
      <c r="C454" s="1"/>
      <c r="D454" s="1">
        <v>5</v>
      </c>
      <c r="E454" s="1">
        <v>2</v>
      </c>
      <c r="F454" s="1">
        <v>1</v>
      </c>
      <c r="G454" s="1488" t="s">
        <v>2700</v>
      </c>
      <c r="H454" s="4" t="str">
        <f>'BID II'!B859</f>
        <v>Belanja Perlengkapan Barang Konsumsi</v>
      </c>
      <c r="I454" s="1"/>
      <c r="J454" s="1"/>
      <c r="K454" s="91">
        <f>'BID II'!F860</f>
        <v>1050000</v>
      </c>
      <c r="L454" s="4" t="s">
        <v>2570</v>
      </c>
    </row>
    <row r="455" spans="1:13" ht="30" x14ac:dyDescent="0.25">
      <c r="A455" s="1"/>
      <c r="B455" s="1"/>
      <c r="C455" s="1"/>
      <c r="D455" s="1"/>
      <c r="E455" s="1"/>
      <c r="F455" s="1"/>
      <c r="G455" s="1488" t="s">
        <v>2702</v>
      </c>
      <c r="H455" s="4" t="str">
        <f>'BID II'!B862</f>
        <v>Belanja Sepanduk</v>
      </c>
      <c r="I455" s="1"/>
      <c r="J455" s="1"/>
      <c r="K455" s="91">
        <f>'BID II'!F863</f>
        <v>150000</v>
      </c>
      <c r="L455" s="4" t="s">
        <v>2570</v>
      </c>
    </row>
    <row r="456" spans="1:13" ht="30" x14ac:dyDescent="0.25">
      <c r="A456" s="1"/>
      <c r="B456" s="1"/>
      <c r="C456" s="1"/>
      <c r="D456" s="1"/>
      <c r="E456" s="1"/>
      <c r="F456" s="1"/>
      <c r="G456" s="1">
        <v>90</v>
      </c>
      <c r="H456" s="4" t="str">
        <f>'BID II'!B865</f>
        <v>Belanja Upakara, Upacara dan Aci</v>
      </c>
      <c r="I456" s="1"/>
      <c r="J456" s="1"/>
      <c r="K456" s="91">
        <f>SUM('BID II'!F866:F868)</f>
        <v>125000</v>
      </c>
      <c r="L456" s="4" t="s">
        <v>2570</v>
      </c>
    </row>
    <row r="457" spans="1:13" x14ac:dyDescent="0.25">
      <c r="A457" s="1"/>
      <c r="B457" s="1"/>
      <c r="C457" s="1"/>
      <c r="D457" s="1">
        <v>5</v>
      </c>
      <c r="E457" s="1">
        <v>2</v>
      </c>
      <c r="F457" s="1">
        <v>2</v>
      </c>
      <c r="G457" s="1"/>
      <c r="H457" s="4" t="str">
        <f>'BID II'!B870</f>
        <v>Belanja Jasa Honorarium</v>
      </c>
      <c r="I457" s="1"/>
      <c r="J457" s="1"/>
      <c r="K457" s="91"/>
      <c r="L457" s="1"/>
    </row>
    <row r="458" spans="1:13" ht="45" x14ac:dyDescent="0.25">
      <c r="A458" s="1"/>
      <c r="B458" s="1"/>
      <c r="C458" s="1"/>
      <c r="D458" s="1"/>
      <c r="E458" s="1"/>
      <c r="F458" s="1"/>
      <c r="G458" s="1488" t="s">
        <v>2679</v>
      </c>
      <c r="H458" s="4" t="str">
        <f>'BID II'!B871</f>
        <v>Belanja Jasa Honorarium Tim Yang Melaksanakan Kegiatan</v>
      </c>
      <c r="I458" s="1"/>
      <c r="J458" s="1"/>
      <c r="K458" s="91">
        <f>SUM('BID II'!F872:F874)</f>
        <v>750000</v>
      </c>
      <c r="L458" s="4" t="s">
        <v>2570</v>
      </c>
    </row>
    <row r="459" spans="1:13" ht="45" x14ac:dyDescent="0.25">
      <c r="A459" s="1"/>
      <c r="B459" s="1"/>
      <c r="C459" s="1"/>
      <c r="D459" s="1"/>
      <c r="E459" s="1"/>
      <c r="F459" s="1"/>
      <c r="G459" s="1488" t="s">
        <v>2697</v>
      </c>
      <c r="H459" s="4" t="str">
        <f>'BID II'!B876</f>
        <v>Belanja Jasa Honorarium Ahli/Profesi/Konsultan/ Narasumber</v>
      </c>
      <c r="I459" s="1"/>
      <c r="J459" s="1"/>
      <c r="K459" s="91">
        <f>'BID II'!F877</f>
        <v>900000</v>
      </c>
      <c r="L459" s="4" t="s">
        <v>2570</v>
      </c>
    </row>
    <row r="460" spans="1:13" ht="45" x14ac:dyDescent="0.25">
      <c r="A460" s="1"/>
      <c r="B460" s="1"/>
      <c r="C460" s="1"/>
      <c r="D460" s="1">
        <v>5</v>
      </c>
      <c r="E460" s="1">
        <v>2</v>
      </c>
      <c r="F460" s="1">
        <v>7</v>
      </c>
      <c r="G460" s="1"/>
      <c r="H460" s="4" t="str">
        <f>'BID II'!B879</f>
        <v>Belanja Barang Dan Jasa yang Diserahkan Kepada Masyarakat</v>
      </c>
      <c r="I460" s="1"/>
      <c r="J460" s="1"/>
      <c r="K460" s="91"/>
      <c r="L460" s="1"/>
    </row>
    <row r="461" spans="1:13" ht="30" x14ac:dyDescent="0.25">
      <c r="A461" s="1"/>
      <c r="B461" s="1"/>
      <c r="C461" s="1"/>
      <c r="D461" s="1"/>
      <c r="E461" s="1"/>
      <c r="F461" s="1"/>
      <c r="G461" s="1">
        <v>90</v>
      </c>
      <c r="H461" s="4" t="str">
        <f>'BID II'!B880</f>
        <v>Belanja Jasa Seniman dan Atlit Berprestasi</v>
      </c>
      <c r="I461" s="1"/>
      <c r="J461" s="1"/>
      <c r="K461" s="91">
        <f>SUM('BID II'!F881:F883)</f>
        <v>6000000</v>
      </c>
      <c r="L461" s="4" t="s">
        <v>2570</v>
      </c>
    </row>
    <row r="462" spans="1:13" ht="120" x14ac:dyDescent="0.25">
      <c r="A462" s="1027">
        <v>2</v>
      </c>
      <c r="B462" s="1027">
        <v>2</v>
      </c>
      <c r="C462" s="1491" t="s">
        <v>2696</v>
      </c>
      <c r="D462" s="1027"/>
      <c r="E462" s="1027"/>
      <c r="F462" s="1027"/>
      <c r="G462" s="1027"/>
      <c r="H462" s="1028" t="str">
        <f>'BID II'!B899</f>
        <v>: Penyuluhan dan Pelatihan Bidang Kesehatan untuk Masyarakat (Penyuluhan kesehatan Organ Reproduksi dan Penyelenggaraan Papsmear)</v>
      </c>
      <c r="I462" s="1027"/>
      <c r="J462" s="1027"/>
      <c r="K462" s="1492">
        <f>SUM(K463:K470)</f>
        <v>7480000</v>
      </c>
      <c r="L462" s="1027"/>
      <c r="M462" s="32">
        <f>'BID II'!F924</f>
        <v>7480000</v>
      </c>
    </row>
    <row r="463" spans="1:13" x14ac:dyDescent="0.25">
      <c r="A463" s="1"/>
      <c r="B463" s="1"/>
      <c r="C463" s="1"/>
      <c r="D463" s="1">
        <v>5</v>
      </c>
      <c r="E463" s="1">
        <v>2</v>
      </c>
      <c r="F463" s="1"/>
      <c r="G463" s="1"/>
      <c r="H463" s="4" t="str">
        <f>'BID II'!B906</f>
        <v>Belanja Barang Jasa</v>
      </c>
      <c r="I463" s="1"/>
      <c r="J463" s="1"/>
      <c r="K463" s="91"/>
      <c r="L463" s="1"/>
    </row>
    <row r="464" spans="1:13" ht="30" x14ac:dyDescent="0.25">
      <c r="A464" s="1"/>
      <c r="B464" s="1"/>
      <c r="C464" s="1"/>
      <c r="D464" s="1"/>
      <c r="E464" s="1"/>
      <c r="F464" s="1">
        <v>1</v>
      </c>
      <c r="G464" s="1"/>
      <c r="H464" s="4" t="str">
        <f>'BID II'!B907</f>
        <v>Belanja Barang Perlengkapan</v>
      </c>
      <c r="I464" s="1"/>
      <c r="J464" s="1"/>
      <c r="K464" s="91"/>
      <c r="L464" s="1"/>
    </row>
    <row r="465" spans="1:13" ht="30" x14ac:dyDescent="0.25">
      <c r="A465" s="1"/>
      <c r="B465" s="1"/>
      <c r="C465" s="1"/>
      <c r="D465" s="1"/>
      <c r="E465" s="1"/>
      <c r="F465" s="1"/>
      <c r="G465" s="1488" t="s">
        <v>2679</v>
      </c>
      <c r="H465" s="4" t="str">
        <f>'BID II'!B908</f>
        <v>Belanja Alat Tulis Kantor dan Benda Pos</v>
      </c>
      <c r="I465" s="1"/>
      <c r="J465" s="1"/>
      <c r="K465" s="91">
        <f>SUM('BID II'!F909:F910)</f>
        <v>190000</v>
      </c>
      <c r="L465" s="1" t="s">
        <v>1711</v>
      </c>
    </row>
    <row r="466" spans="1:13" ht="30" x14ac:dyDescent="0.25">
      <c r="A466" s="1"/>
      <c r="B466" s="1"/>
      <c r="C466" s="1"/>
      <c r="D466" s="1"/>
      <c r="E466" s="1"/>
      <c r="F466" s="1"/>
      <c r="G466" s="1488" t="s">
        <v>2700</v>
      </c>
      <c r="H466" s="4" t="str">
        <f>'BID II'!B912</f>
        <v>Belanja Perlengkapan Barang Konsumsi</v>
      </c>
      <c r="I466" s="1"/>
      <c r="J466" s="1"/>
      <c r="K466" s="91">
        <f>'BID II'!F913</f>
        <v>600000</v>
      </c>
      <c r="L466" s="1" t="s">
        <v>1711</v>
      </c>
    </row>
    <row r="467" spans="1:13" ht="30" x14ac:dyDescent="0.25">
      <c r="A467" s="1"/>
      <c r="B467" s="1"/>
      <c r="C467" s="1"/>
      <c r="D467" s="1"/>
      <c r="E467" s="1"/>
      <c r="F467" s="1"/>
      <c r="G467" s="1488" t="s">
        <v>2701</v>
      </c>
      <c r="H467" s="4" t="str">
        <f>'BID II'!B914</f>
        <v>Belanja Bahan Alat Meterial</v>
      </c>
      <c r="I467" s="1"/>
      <c r="J467" s="1"/>
      <c r="K467" s="91">
        <f>'BID II'!F915</f>
        <v>6000000</v>
      </c>
      <c r="L467" s="1" t="s">
        <v>1711</v>
      </c>
    </row>
    <row r="468" spans="1:13" ht="30" x14ac:dyDescent="0.25">
      <c r="A468" s="1"/>
      <c r="B468" s="1"/>
      <c r="C468" s="1"/>
      <c r="D468" s="1"/>
      <c r="E468" s="1"/>
      <c r="F468" s="1"/>
      <c r="G468" s="1488" t="s">
        <v>2702</v>
      </c>
      <c r="H468" s="4" t="str">
        <f>'BID II'!B917</f>
        <v>Belanja Bendera/ Umbul-umbul/ Spanduk</v>
      </c>
      <c r="I468" s="1"/>
      <c r="J468" s="1"/>
      <c r="K468" s="91">
        <f>'BID II'!F918</f>
        <v>90000</v>
      </c>
      <c r="L468" s="1" t="s">
        <v>1711</v>
      </c>
    </row>
    <row r="469" spans="1:13" x14ac:dyDescent="0.25">
      <c r="A469" s="1"/>
      <c r="B469" s="1"/>
      <c r="C469" s="1"/>
      <c r="D469" s="1">
        <v>5</v>
      </c>
      <c r="E469" s="1">
        <v>2</v>
      </c>
      <c r="F469" s="1">
        <v>2</v>
      </c>
      <c r="G469" s="1"/>
      <c r="H469" s="4" t="str">
        <f>'BID II'!B920</f>
        <v>Belanja Jasa Honorarium</v>
      </c>
      <c r="I469" s="1"/>
      <c r="J469" s="1"/>
      <c r="K469" s="91"/>
      <c r="L469" s="1"/>
    </row>
    <row r="470" spans="1:13" ht="60" x14ac:dyDescent="0.25">
      <c r="A470" s="1"/>
      <c r="B470" s="1"/>
      <c r="C470" s="1"/>
      <c r="D470" s="1"/>
      <c r="E470" s="1"/>
      <c r="F470" s="1"/>
      <c r="G470" s="1488" t="s">
        <v>2697</v>
      </c>
      <c r="H470" s="4" t="str">
        <f>'BID II'!B921</f>
        <v>Belanja Jasa Honorarium Ahli/ Profesi/Konsultan/Narasumber</v>
      </c>
      <c r="I470" s="1"/>
      <c r="J470" s="1"/>
      <c r="K470" s="91">
        <f>'BID II'!F922</f>
        <v>600000</v>
      </c>
      <c r="L470" s="1" t="s">
        <v>1711</v>
      </c>
    </row>
    <row r="471" spans="1:13" ht="75" x14ac:dyDescent="0.25">
      <c r="A471" s="1027">
        <v>2</v>
      </c>
      <c r="B471" s="1027">
        <v>2</v>
      </c>
      <c r="C471" s="1491" t="s">
        <v>2696</v>
      </c>
      <c r="D471" s="1027"/>
      <c r="E471" s="1027"/>
      <c r="F471" s="1027"/>
      <c r="G471" s="1027"/>
      <c r="H471" s="1028" t="str">
        <f>'BID II'!B938</f>
        <v>: Penyuluhan dan Pelatihan Bidang Kesehatan untuk Masyarakat  (Pembinaan Rumah Dataku)</v>
      </c>
      <c r="I471" s="1027"/>
      <c r="J471" s="1027"/>
      <c r="K471" s="1492">
        <f>SUM(K472:K478)</f>
        <v>1550000</v>
      </c>
      <c r="L471" s="1027"/>
      <c r="M471" s="83">
        <f>'BID II'!F965</f>
        <v>1550000</v>
      </c>
    </row>
    <row r="472" spans="1:13" x14ac:dyDescent="0.25">
      <c r="A472" s="1"/>
      <c r="B472" s="1"/>
      <c r="C472" s="1"/>
      <c r="D472" s="1">
        <v>5</v>
      </c>
      <c r="E472" s="1">
        <v>2</v>
      </c>
      <c r="F472" s="1"/>
      <c r="G472" s="1"/>
      <c r="H472" s="4" t="str">
        <f>'BID II'!B944</f>
        <v>Belanja Barang Jasa</v>
      </c>
      <c r="I472" s="1"/>
      <c r="J472" s="1"/>
      <c r="K472" s="91"/>
      <c r="L472" s="1"/>
    </row>
    <row r="473" spans="1:13" ht="30" x14ac:dyDescent="0.25">
      <c r="A473" s="1"/>
      <c r="B473" s="1"/>
      <c r="C473" s="1"/>
      <c r="D473" s="1"/>
      <c r="E473" s="1"/>
      <c r="F473" s="1">
        <v>1</v>
      </c>
      <c r="G473" s="1"/>
      <c r="H473" s="4" t="str">
        <f>'BID II'!B945</f>
        <v>Belanja Barang Perlengkapan</v>
      </c>
      <c r="I473" s="1"/>
      <c r="J473" s="1"/>
      <c r="K473" s="91"/>
      <c r="L473" s="1"/>
    </row>
    <row r="474" spans="1:13" ht="30" x14ac:dyDescent="0.25">
      <c r="A474" s="1"/>
      <c r="B474" s="1"/>
      <c r="C474" s="1"/>
      <c r="D474" s="1"/>
      <c r="E474" s="1"/>
      <c r="F474" s="1"/>
      <c r="G474" s="1488" t="s">
        <v>2679</v>
      </c>
      <c r="H474" s="4" t="str">
        <f>'BID II'!B946</f>
        <v>Belanja Alat Tulis Kantor dan Benda Pos</v>
      </c>
      <c r="I474" s="1"/>
      <c r="J474" s="1"/>
      <c r="K474" s="91">
        <f>SUM('BID II'!F947:F952)</f>
        <v>560000</v>
      </c>
      <c r="L474" s="4" t="s">
        <v>2569</v>
      </c>
    </row>
    <row r="475" spans="1:13" ht="30" x14ac:dyDescent="0.25">
      <c r="A475" s="1"/>
      <c r="B475" s="1"/>
      <c r="C475" s="1"/>
      <c r="D475" s="1"/>
      <c r="E475" s="1"/>
      <c r="F475" s="1"/>
      <c r="G475" s="1488" t="s">
        <v>2700</v>
      </c>
      <c r="H475" s="4" t="str">
        <f>'BID II'!B954</f>
        <v>Belanja Perlengkapan Barang Konsumsi</v>
      </c>
      <c r="I475" s="1"/>
      <c r="J475" s="1"/>
      <c r="K475" s="91">
        <f>SUM('BID II'!F955)</f>
        <v>300000</v>
      </c>
      <c r="L475" s="4" t="s">
        <v>2569</v>
      </c>
    </row>
    <row r="476" spans="1:13" ht="30" x14ac:dyDescent="0.25">
      <c r="A476" s="1"/>
      <c r="B476" s="1"/>
      <c r="C476" s="1"/>
      <c r="D476" s="1"/>
      <c r="E476" s="1"/>
      <c r="F476" s="1"/>
      <c r="G476" s="1488" t="s">
        <v>2702</v>
      </c>
      <c r="H476" s="4" t="str">
        <f>'BID II'!B957</f>
        <v>Belanja Bendera/ Umbul-umbul/ Spanduk</v>
      </c>
      <c r="I476" s="1"/>
      <c r="J476" s="1"/>
      <c r="K476" s="91">
        <f>'BID II'!F958</f>
        <v>90000</v>
      </c>
      <c r="L476" s="4" t="s">
        <v>2569</v>
      </c>
    </row>
    <row r="477" spans="1:13" x14ac:dyDescent="0.25">
      <c r="A477" s="1"/>
      <c r="B477" s="1"/>
      <c r="C477" s="1"/>
      <c r="D477" s="1">
        <v>5</v>
      </c>
      <c r="E477" s="1">
        <v>2</v>
      </c>
      <c r="F477" s="1">
        <v>2</v>
      </c>
      <c r="G477" s="1"/>
      <c r="H477" s="4" t="str">
        <f>'BID II'!B961</f>
        <v>Belanja  Jasa Honorarium</v>
      </c>
      <c r="I477" s="1"/>
      <c r="J477" s="1"/>
      <c r="K477" s="91"/>
      <c r="L477" s="1"/>
    </row>
    <row r="478" spans="1:13" ht="45" x14ac:dyDescent="0.25">
      <c r="A478" s="1"/>
      <c r="B478" s="1"/>
      <c r="C478" s="1"/>
      <c r="D478" s="1"/>
      <c r="E478" s="1"/>
      <c r="F478" s="1"/>
      <c r="G478" s="1488" t="s">
        <v>2697</v>
      </c>
      <c r="H478" s="4" t="str">
        <f>'BID II'!B962</f>
        <v>Belanja Jasa Honorarium Ahli/Profesi/Konsultan/Narasumber</v>
      </c>
      <c r="I478" s="1"/>
      <c r="J478" s="1"/>
      <c r="K478" s="91">
        <f>'BID II'!F963</f>
        <v>600000</v>
      </c>
      <c r="L478" s="4" t="s">
        <v>2569</v>
      </c>
    </row>
    <row r="479" spans="1:13" ht="75" x14ac:dyDescent="0.25">
      <c r="A479" s="1027">
        <v>2</v>
      </c>
      <c r="B479" s="1027">
        <v>2</v>
      </c>
      <c r="C479" s="1491" t="s">
        <v>2696</v>
      </c>
      <c r="D479" s="1027"/>
      <c r="E479" s="1027"/>
      <c r="F479" s="1027"/>
      <c r="G479" s="1027"/>
      <c r="H479" s="1028" t="str">
        <f>'BID II'!B979</f>
        <v>: Penyuluhan dan Pelatihan Bidang Kesehatan Untuk Masyarakat  (Sosialisasi Sanitasi pedagang )</v>
      </c>
      <c r="I479" s="1027"/>
      <c r="J479" s="1027"/>
      <c r="K479" s="1492">
        <f>SUM(K480:K486)</f>
        <v>4633200</v>
      </c>
      <c r="L479" s="1027"/>
      <c r="M479" s="32">
        <f>'BID II'!F1004</f>
        <v>4633200</v>
      </c>
    </row>
    <row r="480" spans="1:13" x14ac:dyDescent="0.25">
      <c r="A480" s="1"/>
      <c r="B480" s="1"/>
      <c r="C480" s="1"/>
      <c r="D480" s="1">
        <v>5</v>
      </c>
      <c r="E480" s="1">
        <v>2</v>
      </c>
      <c r="F480" s="1"/>
      <c r="G480" s="1"/>
      <c r="H480" s="4" t="str">
        <f>'BID II'!B986</f>
        <v xml:space="preserve">Belanja Barang dan Jasa </v>
      </c>
      <c r="I480" s="1"/>
      <c r="J480" s="1"/>
      <c r="K480" s="91"/>
      <c r="L480" s="1"/>
    </row>
    <row r="481" spans="1:13" ht="30" x14ac:dyDescent="0.25">
      <c r="A481" s="1"/>
      <c r="B481" s="1"/>
      <c r="C481" s="1"/>
      <c r="D481" s="1"/>
      <c r="E481" s="1"/>
      <c r="F481" s="1">
        <v>1</v>
      </c>
      <c r="G481" s="1"/>
      <c r="H481" s="4" t="str">
        <f>'BID II'!B987</f>
        <v>Belanja Barang perlengkapan</v>
      </c>
      <c r="I481" s="1"/>
      <c r="J481" s="1"/>
      <c r="K481" s="91"/>
      <c r="L481" s="1"/>
    </row>
    <row r="482" spans="1:13" ht="45" x14ac:dyDescent="0.25">
      <c r="A482" s="1"/>
      <c r="B482" s="1"/>
      <c r="C482" s="1"/>
      <c r="D482" s="1"/>
      <c r="E482" s="1"/>
      <c r="F482" s="1"/>
      <c r="G482" s="1488" t="s">
        <v>2679</v>
      </c>
      <c r="H482" s="4" t="str">
        <f>'BID II'!B988</f>
        <v>Belanja Perlengkapan Alat Tulis Kantor Dan Benda Pos</v>
      </c>
      <c r="I482" s="1"/>
      <c r="J482" s="1"/>
      <c r="K482" s="91">
        <f>SUM('BID II'!F989:F990)</f>
        <v>183200</v>
      </c>
      <c r="L482" s="4" t="s">
        <v>2569</v>
      </c>
    </row>
    <row r="483" spans="1:13" ht="30" x14ac:dyDescent="0.25">
      <c r="A483" s="1"/>
      <c r="B483" s="1"/>
      <c r="C483" s="1"/>
      <c r="D483" s="1"/>
      <c r="E483" s="1"/>
      <c r="F483" s="1"/>
      <c r="G483" s="1488" t="s">
        <v>2700</v>
      </c>
      <c r="H483" s="4" t="str">
        <f>'BID II'!B992</f>
        <v>Belanja Perlengkapan Barang konsumsi</v>
      </c>
      <c r="I483" s="1"/>
      <c r="J483" s="1"/>
      <c r="K483" s="91">
        <f>'BID II'!F993</f>
        <v>300000</v>
      </c>
      <c r="L483" s="4" t="s">
        <v>2569</v>
      </c>
    </row>
    <row r="484" spans="1:13" x14ac:dyDescent="0.25">
      <c r="A484" s="1"/>
      <c r="B484" s="1"/>
      <c r="C484" s="1"/>
      <c r="D484" s="1">
        <v>5</v>
      </c>
      <c r="E484" s="1">
        <v>2</v>
      </c>
      <c r="F484" s="1">
        <v>2</v>
      </c>
      <c r="G484" s="1"/>
      <c r="H484" s="4" t="str">
        <f>'BID II'!B995</f>
        <v>Belanja Jasa Honorarium</v>
      </c>
      <c r="I484" s="1"/>
      <c r="J484" s="1"/>
      <c r="K484" s="91"/>
      <c r="L484" s="4"/>
    </row>
    <row r="485" spans="1:13" ht="45" x14ac:dyDescent="0.25">
      <c r="A485" s="1"/>
      <c r="B485" s="1"/>
      <c r="C485" s="1"/>
      <c r="D485" s="1"/>
      <c r="E485" s="1"/>
      <c r="F485" s="1"/>
      <c r="G485" s="1488" t="s">
        <v>2679</v>
      </c>
      <c r="H485" s="4" t="str">
        <f>'BID II'!B996</f>
        <v>Belanja Jasa Honorarium Tim Yang Melaksanakan kegiatan</v>
      </c>
      <c r="I485" s="1"/>
      <c r="J485" s="1"/>
      <c r="K485" s="91">
        <f>SUM('BID II'!F997:F999)</f>
        <v>1150000</v>
      </c>
      <c r="L485" s="4" t="s">
        <v>2569</v>
      </c>
    </row>
    <row r="486" spans="1:13" ht="30" x14ac:dyDescent="0.25">
      <c r="A486" s="1"/>
      <c r="B486" s="1"/>
      <c r="C486" s="1"/>
      <c r="D486" s="1"/>
      <c r="E486" s="1"/>
      <c r="F486" s="1"/>
      <c r="G486" s="1488" t="s">
        <v>2699</v>
      </c>
      <c r="H486" s="4" t="str">
        <f>'BID II'!B1000</f>
        <v>Belanja Jasa Honorarium Petugas</v>
      </c>
      <c r="I486" s="1"/>
      <c r="J486" s="1"/>
      <c r="K486" s="91">
        <f>'BID II'!F1001</f>
        <v>3000000</v>
      </c>
      <c r="L486" s="4" t="s">
        <v>2569</v>
      </c>
    </row>
    <row r="487" spans="1:13" ht="75" x14ac:dyDescent="0.25">
      <c r="A487" s="1027">
        <v>2</v>
      </c>
      <c r="B487" s="1027">
        <v>2</v>
      </c>
      <c r="C487" s="1491" t="s">
        <v>2696</v>
      </c>
      <c r="D487" s="1027"/>
      <c r="E487" s="1027"/>
      <c r="F487" s="1027"/>
      <c r="G487" s="1027"/>
      <c r="H487" s="1028" t="str">
        <f>'BID II'!B1018</f>
        <v>: Penyuluhan dan Pelatihan Bidang Kesehatan Untuk Masyarakat  (Pembinaan Kader Kesehatan Jiwa )</v>
      </c>
      <c r="I487" s="1027"/>
      <c r="J487" s="1027"/>
      <c r="K487" s="1492">
        <f>SUM(K488:K494)</f>
        <v>1321500</v>
      </c>
      <c r="L487" s="1027"/>
      <c r="M487">
        <f>'BID II'!F1045</f>
        <v>0</v>
      </c>
    </row>
    <row r="488" spans="1:13" x14ac:dyDescent="0.25">
      <c r="A488" s="1"/>
      <c r="B488" s="1"/>
      <c r="C488" s="1"/>
      <c r="D488" s="1">
        <v>5</v>
      </c>
      <c r="E488" s="1">
        <v>2</v>
      </c>
      <c r="F488" s="1"/>
      <c r="G488" s="1"/>
      <c r="H488" s="4" t="str">
        <f>'BID II'!B1024</f>
        <v>Belanja Barang Jasa</v>
      </c>
      <c r="I488" s="1"/>
      <c r="J488" s="1"/>
      <c r="K488" s="91"/>
      <c r="L488" s="1"/>
    </row>
    <row r="489" spans="1:13" ht="30" x14ac:dyDescent="0.25">
      <c r="A489" s="1"/>
      <c r="B489" s="1"/>
      <c r="C489" s="1"/>
      <c r="D489" s="1"/>
      <c r="E489" s="1"/>
      <c r="F489" s="1">
        <v>1</v>
      </c>
      <c r="G489" s="1"/>
      <c r="H489" s="4" t="str">
        <f>'BID II'!B1025</f>
        <v>Belanja Barang Perlengkapan</v>
      </c>
      <c r="I489" s="1"/>
      <c r="J489" s="1"/>
      <c r="K489" s="91"/>
      <c r="L489" s="1"/>
    </row>
    <row r="490" spans="1:13" ht="30" x14ac:dyDescent="0.25">
      <c r="A490" s="1"/>
      <c r="B490" s="1"/>
      <c r="C490" s="1"/>
      <c r="D490" s="1"/>
      <c r="E490" s="1"/>
      <c r="F490" s="1"/>
      <c r="G490" s="1488" t="s">
        <v>2679</v>
      </c>
      <c r="H490" s="4" t="str">
        <f>'BID II'!B1026</f>
        <v>Belanja Alat Tulis Kantor dan Benda Pos</v>
      </c>
      <c r="I490" s="1"/>
      <c r="J490" s="1"/>
      <c r="K490" s="91">
        <f>SUM('BID II'!F1027:F1032)</f>
        <v>331500</v>
      </c>
      <c r="L490" s="4" t="s">
        <v>2569</v>
      </c>
    </row>
    <row r="491" spans="1:13" ht="30" x14ac:dyDescent="0.25">
      <c r="A491" s="1"/>
      <c r="B491" s="1"/>
      <c r="C491" s="1"/>
      <c r="D491" s="1"/>
      <c r="E491" s="1"/>
      <c r="F491" s="1"/>
      <c r="G491" s="1488" t="s">
        <v>2700</v>
      </c>
      <c r="H491" s="4" t="str">
        <f>'BID II'!B1034</f>
        <v>Belanja Perlengkapan Barang Konsumsi</v>
      </c>
      <c r="I491" s="1"/>
      <c r="J491" s="1"/>
      <c r="K491" s="91">
        <f>'BID II'!F1035</f>
        <v>300000</v>
      </c>
      <c r="L491" s="4" t="s">
        <v>2569</v>
      </c>
    </row>
    <row r="492" spans="1:13" ht="30" x14ac:dyDescent="0.25">
      <c r="A492" s="1"/>
      <c r="B492" s="1"/>
      <c r="C492" s="1"/>
      <c r="D492" s="1"/>
      <c r="E492" s="1"/>
      <c r="F492" s="1"/>
      <c r="G492" s="1488" t="s">
        <v>2702</v>
      </c>
      <c r="H492" s="4" t="str">
        <f>'BID II'!B1037</f>
        <v>Belanja Bendera/ Umbul-umbul/ Spanduk</v>
      </c>
      <c r="I492" s="1"/>
      <c r="J492" s="1"/>
      <c r="K492" s="91">
        <f>'BID II'!F1038</f>
        <v>90000</v>
      </c>
      <c r="L492" s="4" t="s">
        <v>2569</v>
      </c>
    </row>
    <row r="493" spans="1:13" x14ac:dyDescent="0.25">
      <c r="A493" s="1"/>
      <c r="B493" s="1"/>
      <c r="C493" s="1"/>
      <c r="D493" s="1">
        <v>5</v>
      </c>
      <c r="E493" s="1">
        <v>2</v>
      </c>
      <c r="F493" s="1">
        <v>2</v>
      </c>
      <c r="G493" s="1"/>
      <c r="H493" s="4" t="str">
        <f>'BID II'!B1041</f>
        <v>Belanja  Jasa Honorarium</v>
      </c>
      <c r="I493" s="1"/>
      <c r="J493" s="1"/>
      <c r="K493" s="91"/>
      <c r="L493" s="1"/>
    </row>
    <row r="494" spans="1:13" ht="45" x14ac:dyDescent="0.25">
      <c r="A494" s="1"/>
      <c r="B494" s="1"/>
      <c r="C494" s="1"/>
      <c r="D494" s="1"/>
      <c r="E494" s="1"/>
      <c r="F494" s="1"/>
      <c r="G494" s="1488" t="s">
        <v>2697</v>
      </c>
      <c r="H494" s="4" t="str">
        <f>'BID II'!B1042</f>
        <v>Belanja Jasa Honorarium Ahli/Profesi/Konsultan/Narasumber</v>
      </c>
      <c r="I494" s="1"/>
      <c r="J494" s="1"/>
      <c r="K494" s="91">
        <f>'BID II'!F1043</f>
        <v>600000</v>
      </c>
      <c r="L494" s="4" t="s">
        <v>2569</v>
      </c>
    </row>
    <row r="495" spans="1:13" ht="60" x14ac:dyDescent="0.25">
      <c r="A495" s="1027">
        <v>2</v>
      </c>
      <c r="B495" s="1027">
        <v>2</v>
      </c>
      <c r="C495" s="1491" t="s">
        <v>2697</v>
      </c>
      <c r="D495" s="1027"/>
      <c r="E495" s="1027"/>
      <c r="F495" s="1027"/>
      <c r="G495" s="1027"/>
      <c r="H495" s="1028" t="str">
        <f>'BID II'!B1059</f>
        <v>: Penyuluhan dan Pelatihan Bidang Kesehatan (Desa Siaga Kesehatan)</v>
      </c>
      <c r="I495" s="1027"/>
      <c r="J495" s="1027"/>
      <c r="K495" s="1492">
        <f>SUM(K498:K503)</f>
        <v>1669600</v>
      </c>
      <c r="L495" s="1027"/>
      <c r="M495" s="32">
        <f>'BID II'!F1091</f>
        <v>1669600</v>
      </c>
    </row>
    <row r="496" spans="1:13" x14ac:dyDescent="0.25">
      <c r="A496" s="1"/>
      <c r="B496" s="1"/>
      <c r="C496" s="1"/>
      <c r="D496" s="1">
        <v>5</v>
      </c>
      <c r="E496" s="1">
        <v>2</v>
      </c>
      <c r="F496" s="1"/>
      <c r="G496" s="1"/>
      <c r="H496" s="1" t="str">
        <f>'BID II'!B1065</f>
        <v>Belanja Barang Jasa</v>
      </c>
      <c r="I496" s="1"/>
      <c r="J496" s="1"/>
      <c r="K496" s="91"/>
      <c r="L496" s="1"/>
    </row>
    <row r="497" spans="1:13" ht="30" x14ac:dyDescent="0.25">
      <c r="A497" s="1"/>
      <c r="B497" s="1"/>
      <c r="C497" s="1"/>
      <c r="D497" s="1"/>
      <c r="E497" s="1"/>
      <c r="F497" s="1">
        <v>1</v>
      </c>
      <c r="G497" s="1"/>
      <c r="H497" s="4" t="str">
        <f>'BID II'!B1066</f>
        <v>Belanja Barang Perlengkapan</v>
      </c>
      <c r="I497" s="1"/>
      <c r="J497" s="1"/>
      <c r="K497" s="91"/>
      <c r="L497" s="1"/>
    </row>
    <row r="498" spans="1:13" ht="30" x14ac:dyDescent="0.25">
      <c r="A498" s="1"/>
      <c r="B498" s="1"/>
      <c r="C498" s="1"/>
      <c r="D498" s="1"/>
      <c r="E498" s="1"/>
      <c r="F498" s="1"/>
      <c r="G498" s="1488" t="s">
        <v>2679</v>
      </c>
      <c r="H498" s="4" t="str">
        <f>'BID II'!B1067</f>
        <v>Belanja Alat Tulis Kantor dan Benda Pos</v>
      </c>
      <c r="I498" s="1"/>
      <c r="J498" s="1"/>
      <c r="K498" s="91">
        <f>SUM('BID II'!F1068:F1071)</f>
        <v>439600</v>
      </c>
      <c r="L498" s="4" t="s">
        <v>2569</v>
      </c>
    </row>
    <row r="499" spans="1:13" ht="30" x14ac:dyDescent="0.25">
      <c r="A499" s="1"/>
      <c r="B499" s="1"/>
      <c r="C499" s="1"/>
      <c r="D499" s="1"/>
      <c r="E499" s="1"/>
      <c r="F499" s="1"/>
      <c r="G499" s="1488" t="s">
        <v>2700</v>
      </c>
      <c r="H499" s="4" t="str">
        <f>'BID II'!B1073</f>
        <v>Belanja Perlengkapan Barang Konsumsi</v>
      </c>
      <c r="I499" s="1"/>
      <c r="J499" s="1"/>
      <c r="K499" s="91">
        <f>'BID II'!F1074</f>
        <v>465000</v>
      </c>
      <c r="L499" s="4" t="s">
        <v>2569</v>
      </c>
    </row>
    <row r="500" spans="1:13" ht="30" x14ac:dyDescent="0.25">
      <c r="A500" s="1"/>
      <c r="B500" s="1"/>
      <c r="C500" s="1"/>
      <c r="D500" s="1"/>
      <c r="E500" s="1"/>
      <c r="F500" s="1"/>
      <c r="G500" s="1488" t="s">
        <v>2702</v>
      </c>
      <c r="H500" s="4" t="str">
        <f>'BID II'!B1076</f>
        <v>Belanja Bendera/ Umbul-umbul/ Spanduk</v>
      </c>
      <c r="I500" s="1"/>
      <c r="J500" s="1"/>
      <c r="K500" s="91">
        <f>'BID II'!F1077</f>
        <v>90000</v>
      </c>
      <c r="L500" s="4" t="s">
        <v>2569</v>
      </c>
    </row>
    <row r="501" spans="1:13" ht="30" x14ac:dyDescent="0.25">
      <c r="A501" s="1"/>
      <c r="B501" s="1"/>
      <c r="C501" s="1"/>
      <c r="D501" s="1"/>
      <c r="E501" s="1"/>
      <c r="F501" s="1"/>
      <c r="G501" s="1">
        <v>90</v>
      </c>
      <c r="H501" s="4" t="str">
        <f>'BID II'!B1079</f>
        <v>Belanja Upakara, Upacara Dan Aci-Aci</v>
      </c>
      <c r="I501" s="1"/>
      <c r="J501" s="1"/>
      <c r="K501" s="91">
        <f>SUM('BID II'!F1080:F1082)</f>
        <v>75000</v>
      </c>
      <c r="L501" s="4" t="s">
        <v>2569</v>
      </c>
    </row>
    <row r="502" spans="1:13" x14ac:dyDescent="0.25">
      <c r="A502" s="1"/>
      <c r="B502" s="1"/>
      <c r="C502" s="1"/>
      <c r="D502" s="1">
        <v>5</v>
      </c>
      <c r="E502" s="1">
        <v>2</v>
      </c>
      <c r="F502" s="1">
        <v>2</v>
      </c>
      <c r="G502" s="1"/>
      <c r="H502" s="4" t="str">
        <f>'BID II'!B1084</f>
        <v>Belanja  Jasa Honorarium</v>
      </c>
      <c r="I502" s="1"/>
      <c r="J502" s="1"/>
      <c r="K502" s="91"/>
      <c r="L502" s="1"/>
    </row>
    <row r="503" spans="1:13" ht="45" x14ac:dyDescent="0.25">
      <c r="A503" s="1"/>
      <c r="B503" s="1"/>
      <c r="C503" s="1"/>
      <c r="D503" s="1"/>
      <c r="E503" s="1"/>
      <c r="F503" s="1"/>
      <c r="G503" s="1488" t="s">
        <v>2697</v>
      </c>
      <c r="H503" s="4" t="str">
        <f>'BID II'!B1086</f>
        <v>Belanja Jasa Honorarium Ahli/Profesi/Konsultan/Narasumber</v>
      </c>
      <c r="I503" s="1"/>
      <c r="J503" s="1"/>
      <c r="K503" s="91">
        <f>'BID II'!F1087</f>
        <v>600000</v>
      </c>
      <c r="L503" s="4" t="s">
        <v>2569</v>
      </c>
    </row>
    <row r="504" spans="1:13" ht="60" x14ac:dyDescent="0.25">
      <c r="A504" s="1027">
        <v>2</v>
      </c>
      <c r="B504" s="1027">
        <v>2</v>
      </c>
      <c r="C504" s="1491" t="s">
        <v>2697</v>
      </c>
      <c r="D504" s="1027"/>
      <c r="E504" s="1027"/>
      <c r="F504" s="1027"/>
      <c r="G504" s="1027"/>
      <c r="H504" s="1028" t="str">
        <f>'BID II'!B1105</f>
        <v>: Penyuluhan dan Pelatihan Bidang Kesehatan ( Sosialisasi anjing rabies)</v>
      </c>
      <c r="I504" s="1027"/>
      <c r="J504" s="1027"/>
      <c r="K504" s="1492">
        <f>SUM(K505:K511)</f>
        <v>1030000</v>
      </c>
      <c r="L504" s="1027"/>
      <c r="M504">
        <f>'BID II'!F1127</f>
        <v>1030000</v>
      </c>
    </row>
    <row r="505" spans="1:13" x14ac:dyDescent="0.25">
      <c r="A505" s="1"/>
      <c r="B505" s="1"/>
      <c r="C505" s="1"/>
      <c r="D505" s="1">
        <v>5</v>
      </c>
      <c r="E505" s="1">
        <v>2</v>
      </c>
      <c r="F505" s="1"/>
      <c r="G505" s="1"/>
      <c r="H505" s="4" t="str">
        <f>'BID II'!B1111</f>
        <v>Belanja Barang Jasa</v>
      </c>
      <c r="I505" s="1"/>
      <c r="J505" s="1"/>
      <c r="K505" s="91"/>
      <c r="L505" s="1"/>
    </row>
    <row r="506" spans="1:13" ht="30" x14ac:dyDescent="0.25">
      <c r="A506" s="1"/>
      <c r="B506" s="1"/>
      <c r="C506" s="1"/>
      <c r="D506" s="1"/>
      <c r="E506" s="1"/>
      <c r="F506" s="1">
        <v>1</v>
      </c>
      <c r="G506" s="1"/>
      <c r="H506" s="4" t="str">
        <f>'BID II'!B1112</f>
        <v>Belanja Barang Perlengkapan</v>
      </c>
      <c r="I506" s="1"/>
      <c r="J506" s="1"/>
      <c r="K506" s="91"/>
      <c r="L506" s="1"/>
    </row>
    <row r="507" spans="1:13" ht="30" x14ac:dyDescent="0.25">
      <c r="A507" s="1"/>
      <c r="B507" s="1"/>
      <c r="C507" s="1"/>
      <c r="D507" s="1"/>
      <c r="E507" s="1"/>
      <c r="F507" s="1"/>
      <c r="G507" s="1488" t="s">
        <v>2679</v>
      </c>
      <c r="H507" s="4" t="str">
        <f>'BID II'!B1113</f>
        <v>Belanja Alat Tulis Kantor dan Benda Pos</v>
      </c>
      <c r="I507" s="1"/>
      <c r="J507" s="1"/>
      <c r="K507" s="91">
        <f>SUM('BID II'!F1114:F1115)</f>
        <v>190000</v>
      </c>
      <c r="L507" s="1" t="s">
        <v>2565</v>
      </c>
    </row>
    <row r="508" spans="1:13" ht="30" x14ac:dyDescent="0.25">
      <c r="A508" s="1"/>
      <c r="B508" s="1"/>
      <c r="C508" s="1"/>
      <c r="D508" s="1"/>
      <c r="E508" s="1"/>
      <c r="F508" s="1"/>
      <c r="G508" s="1488" t="s">
        <v>2700</v>
      </c>
      <c r="H508" s="4" t="str">
        <f>'BID II'!B1117</f>
        <v>Belanja Perlengkapan Barang Konsumsi</v>
      </c>
      <c r="I508" s="1"/>
      <c r="J508" s="1"/>
      <c r="K508" s="91">
        <f>'BID II'!F1118</f>
        <v>450000</v>
      </c>
      <c r="L508" s="1" t="s">
        <v>2565</v>
      </c>
    </row>
    <row r="509" spans="1:13" ht="30" x14ac:dyDescent="0.25">
      <c r="A509" s="1"/>
      <c r="B509" s="1"/>
      <c r="C509" s="1"/>
      <c r="D509" s="1"/>
      <c r="E509" s="1"/>
      <c r="F509" s="1"/>
      <c r="G509" s="1488" t="s">
        <v>2702</v>
      </c>
      <c r="H509" s="4" t="str">
        <f>'BID II'!B1120</f>
        <v>Belanja Bendera/ Umbul-umbul/ Spanduk</v>
      </c>
      <c r="I509" s="1"/>
      <c r="J509" s="1"/>
      <c r="K509" s="91">
        <f>'BID II'!F1121</f>
        <v>90000</v>
      </c>
      <c r="L509" s="1" t="s">
        <v>2565</v>
      </c>
    </row>
    <row r="510" spans="1:13" x14ac:dyDescent="0.25">
      <c r="A510" s="1"/>
      <c r="B510" s="1"/>
      <c r="C510" s="1"/>
      <c r="D510" s="1">
        <v>5</v>
      </c>
      <c r="E510" s="1">
        <v>2</v>
      </c>
      <c r="F510" s="1">
        <v>2</v>
      </c>
      <c r="G510" s="1"/>
      <c r="H510" s="4" t="str">
        <f>'BID II'!B1123</f>
        <v>Belanja  Jasa Honorarium</v>
      </c>
      <c r="I510" s="1"/>
      <c r="J510" s="1"/>
      <c r="K510" s="91"/>
      <c r="L510" s="1"/>
    </row>
    <row r="511" spans="1:13" ht="45" x14ac:dyDescent="0.25">
      <c r="A511" s="1"/>
      <c r="B511" s="1"/>
      <c r="C511" s="1"/>
      <c r="D511" s="1"/>
      <c r="E511" s="1"/>
      <c r="F511" s="1"/>
      <c r="G511" s="1488" t="s">
        <v>2697</v>
      </c>
      <c r="H511" s="4" t="str">
        <f>'BID II'!B1124</f>
        <v>Belanja Jasa Honorarium Ahli/Profesi/Konsultan/Narasumber</v>
      </c>
      <c r="I511" s="1"/>
      <c r="J511" s="1"/>
      <c r="K511" s="91">
        <f>'BID II'!F1125</f>
        <v>300000</v>
      </c>
      <c r="L511" s="1" t="s">
        <v>2565</v>
      </c>
    </row>
    <row r="512" spans="1:13" ht="60" x14ac:dyDescent="0.25">
      <c r="A512" s="1027">
        <v>2</v>
      </c>
      <c r="B512" s="1027">
        <v>2</v>
      </c>
      <c r="C512" s="1491" t="s">
        <v>2694</v>
      </c>
      <c r="D512" s="1027"/>
      <c r="E512" s="1027"/>
      <c r="F512" s="1027"/>
      <c r="G512" s="1027"/>
      <c r="H512" s="1028" t="str">
        <f>'BID II'!B1183</f>
        <v xml:space="preserve"> :  Pengasuhan Bersama atau Bina Keluarga Balita (Pelaksanaan Kegiatan Bina Keluarga Balita BKB )</v>
      </c>
      <c r="I512" s="1027"/>
      <c r="J512" s="1027"/>
      <c r="K512" s="1492" t="e">
        <f>SUM(K513:K520)</f>
        <v>#REF!</v>
      </c>
      <c r="L512" s="1027"/>
      <c r="M512" s="32">
        <f>'BID II'!F1209</f>
        <v>83212900</v>
      </c>
    </row>
    <row r="513" spans="1:13" x14ac:dyDescent="0.25">
      <c r="A513" s="1"/>
      <c r="B513" s="1"/>
      <c r="C513" s="1"/>
      <c r="D513" s="1">
        <v>5</v>
      </c>
      <c r="E513" s="1">
        <v>2</v>
      </c>
      <c r="F513" s="1"/>
      <c r="G513" s="1"/>
      <c r="H513" s="1" t="str">
        <f>'BID II'!B1189</f>
        <v>Belanja Barang dan Jasa</v>
      </c>
      <c r="I513" s="1"/>
      <c r="J513" s="1"/>
      <c r="K513" s="91"/>
      <c r="L513" s="1"/>
    </row>
    <row r="514" spans="1:13" x14ac:dyDescent="0.25">
      <c r="A514" s="1"/>
      <c r="B514" s="1"/>
      <c r="C514" s="1"/>
      <c r="D514" s="1"/>
      <c r="E514" s="1"/>
      <c r="F514" s="1">
        <v>1</v>
      </c>
      <c r="G514" s="1"/>
      <c r="H514" s="1" t="str">
        <f>'BID II'!B1190</f>
        <v>Belanaja Barang Pelengkapan</v>
      </c>
      <c r="I514" s="1"/>
      <c r="J514" s="1"/>
      <c r="K514" s="91"/>
      <c r="L514" s="1"/>
    </row>
    <row r="515" spans="1:13" ht="30" x14ac:dyDescent="0.25">
      <c r="A515" s="1"/>
      <c r="B515" s="1"/>
      <c r="C515" s="1"/>
      <c r="D515" s="1"/>
      <c r="E515" s="1"/>
      <c r="F515" s="1"/>
      <c r="G515" s="1488" t="s">
        <v>2679</v>
      </c>
      <c r="H515" s="4" t="str">
        <f>'BID II'!B1191</f>
        <v>Perlangakapan Alat Tulis Kantor dan Benda POS</v>
      </c>
      <c r="I515" s="1"/>
      <c r="J515" s="1"/>
      <c r="K515" s="91">
        <f>SUM('BID II'!F1192:F1196)</f>
        <v>5272900</v>
      </c>
      <c r="L515" s="1" t="s">
        <v>1409</v>
      </c>
    </row>
    <row r="516" spans="1:13" ht="30" x14ac:dyDescent="0.25">
      <c r="A516" s="1"/>
      <c r="B516" s="1"/>
      <c r="C516" s="1"/>
      <c r="D516" s="1"/>
      <c r="E516" s="1"/>
      <c r="F516" s="1"/>
      <c r="G516" s="1488" t="s">
        <v>2700</v>
      </c>
      <c r="H516" s="4" t="str">
        <f>'BID II'!B1197</f>
        <v>Belanja Perlengkapan Barang Konsumsi</v>
      </c>
      <c r="I516" s="1"/>
      <c r="J516" s="1"/>
      <c r="K516" s="91">
        <f>'BID II'!F1199</f>
        <v>5400000</v>
      </c>
      <c r="L516" s="1" t="s">
        <v>1409</v>
      </c>
    </row>
    <row r="517" spans="1:13" ht="30" x14ac:dyDescent="0.25">
      <c r="A517" s="1"/>
      <c r="B517" s="1"/>
      <c r="C517" s="1"/>
      <c r="D517" s="1"/>
      <c r="E517" s="1"/>
      <c r="F517" s="1"/>
      <c r="G517" s="1488" t="s">
        <v>2702</v>
      </c>
      <c r="H517" s="4" t="str">
        <f>'BID II'!B1203</f>
        <v>Belanja Bendera/Umbul - umbul Spanduk</v>
      </c>
      <c r="I517" s="1"/>
      <c r="J517" s="1"/>
      <c r="K517" s="91">
        <f>'BID II'!F1204</f>
        <v>540000</v>
      </c>
      <c r="L517" s="1" t="s">
        <v>1409</v>
      </c>
    </row>
    <row r="518" spans="1:13" x14ac:dyDescent="0.25">
      <c r="A518" s="1"/>
      <c r="B518" s="1"/>
      <c r="C518" s="1"/>
      <c r="D518" s="1"/>
      <c r="E518" s="1"/>
      <c r="F518" s="1"/>
      <c r="G518" s="1">
        <v>90</v>
      </c>
      <c r="H518" s="4" t="e">
        <f>'BID II'!#REF!</f>
        <v>#REF!</v>
      </c>
      <c r="I518" s="1"/>
      <c r="J518" s="1"/>
      <c r="K518" s="91" t="e">
        <f>SUM('BID II'!#REF!)</f>
        <v>#REF!</v>
      </c>
      <c r="L518" s="1" t="s">
        <v>1409</v>
      </c>
    </row>
    <row r="519" spans="1:13" x14ac:dyDescent="0.25">
      <c r="A519" s="1"/>
      <c r="B519" s="1"/>
      <c r="C519" s="1"/>
      <c r="D519" s="1">
        <v>5</v>
      </c>
      <c r="E519" s="1">
        <v>2</v>
      </c>
      <c r="F519" s="1">
        <v>2</v>
      </c>
      <c r="G519" s="1"/>
      <c r="H519" s="4" t="str">
        <f>'BID II'!B1206</f>
        <v>Belanja Jasa Honorarium</v>
      </c>
      <c r="I519" s="1"/>
      <c r="J519" s="1"/>
      <c r="K519" s="91"/>
      <c r="L519" s="1"/>
    </row>
    <row r="520" spans="1:13" ht="30" x14ac:dyDescent="0.25">
      <c r="A520" s="1"/>
      <c r="B520" s="1"/>
      <c r="C520" s="1"/>
      <c r="D520" s="1"/>
      <c r="E520" s="1"/>
      <c r="F520" s="1"/>
      <c r="G520" s="1488" t="s">
        <v>2699</v>
      </c>
      <c r="H520" s="4" t="str">
        <f>'BID II'!B1207</f>
        <v>Belanja Jasa Honorarium Petugas</v>
      </c>
      <c r="I520" s="1"/>
      <c r="J520" s="1"/>
      <c r="K520" s="91">
        <f>'BID II'!F1208</f>
        <v>72000000</v>
      </c>
      <c r="L520" s="1" t="s">
        <v>1409</v>
      </c>
    </row>
    <row r="521" spans="1:13" ht="45" x14ac:dyDescent="0.25">
      <c r="A521" s="1027">
        <v>2</v>
      </c>
      <c r="B521" s="1027">
        <v>2</v>
      </c>
      <c r="C521" s="1491" t="s">
        <v>2700</v>
      </c>
      <c r="D521" s="1027"/>
      <c r="E521" s="1027"/>
      <c r="F521" s="1027"/>
      <c r="G521" s="1027"/>
      <c r="H521" s="1028" t="str">
        <f>'BID II'!B1223</f>
        <v xml:space="preserve"> :  Pengasuhan Bersama atau Bina Keluarga Lansia (Penyelenggaraan BKL)</v>
      </c>
      <c r="I521" s="1027"/>
      <c r="J521" s="1027"/>
      <c r="K521" s="1492">
        <f>SUM(K522:K528)</f>
        <v>14133000</v>
      </c>
      <c r="L521" s="1027"/>
      <c r="M521" s="32">
        <f>'BID II'!F1247</f>
        <v>14133000</v>
      </c>
    </row>
    <row r="522" spans="1:13" x14ac:dyDescent="0.25">
      <c r="A522" s="1"/>
      <c r="B522" s="1"/>
      <c r="C522" s="1"/>
      <c r="D522" s="1">
        <v>5</v>
      </c>
      <c r="E522" s="1">
        <v>2</v>
      </c>
      <c r="F522" s="1"/>
      <c r="G522" s="1"/>
      <c r="H522" s="4" t="str">
        <f>'BID II'!B1228</f>
        <v>Belanja Barang Jasa</v>
      </c>
      <c r="I522" s="1"/>
      <c r="J522" s="1"/>
      <c r="K522" s="91"/>
      <c r="L522" s="1"/>
    </row>
    <row r="523" spans="1:13" ht="30" x14ac:dyDescent="0.25">
      <c r="A523" s="1"/>
      <c r="B523" s="1"/>
      <c r="C523" s="1"/>
      <c r="D523" s="1"/>
      <c r="E523" s="1"/>
      <c r="F523" s="1">
        <v>1</v>
      </c>
      <c r="G523" s="1"/>
      <c r="H523" s="4" t="str">
        <f>'BID II'!B1229</f>
        <v>Belanja Barang Perlengkapan</v>
      </c>
      <c r="I523" s="1"/>
      <c r="J523" s="1"/>
      <c r="K523" s="91"/>
      <c r="L523" s="1"/>
    </row>
    <row r="524" spans="1:13" ht="30" x14ac:dyDescent="0.25">
      <c r="A524" s="1"/>
      <c r="B524" s="1"/>
      <c r="C524" s="1"/>
      <c r="D524" s="1"/>
      <c r="E524" s="1"/>
      <c r="F524" s="1"/>
      <c r="G524" s="1488" t="s">
        <v>2679</v>
      </c>
      <c r="H524" s="4" t="str">
        <f>'BID II'!B1230</f>
        <v>Belanja Alat Tulis Kantor dan Benda Pos</v>
      </c>
      <c r="I524" s="1"/>
      <c r="J524" s="1"/>
      <c r="K524" s="91">
        <f>SUM('BID II'!F1231:F1234)</f>
        <v>293000</v>
      </c>
      <c r="L524" s="4" t="s">
        <v>2571</v>
      </c>
    </row>
    <row r="525" spans="1:13" ht="30" x14ac:dyDescent="0.25">
      <c r="A525" s="1"/>
      <c r="B525" s="1"/>
      <c r="C525" s="1"/>
      <c r="D525" s="1"/>
      <c r="E525" s="1"/>
      <c r="F525" s="1"/>
      <c r="G525" s="1488" t="s">
        <v>2700</v>
      </c>
      <c r="H525" s="4" t="str">
        <f>'BID II'!B1236</f>
        <v>Belanja Perlengkapan Barang Konsumsi</v>
      </c>
      <c r="I525" s="1"/>
      <c r="J525" s="1"/>
      <c r="K525" s="91">
        <f>'BID II'!F1238</f>
        <v>900000</v>
      </c>
      <c r="L525" s="4" t="s">
        <v>2571</v>
      </c>
    </row>
    <row r="526" spans="1:13" ht="30" x14ac:dyDescent="0.25">
      <c r="A526" s="1"/>
      <c r="B526" s="1"/>
      <c r="C526" s="1"/>
      <c r="D526" s="1"/>
      <c r="E526" s="1"/>
      <c r="F526" s="1"/>
      <c r="G526" s="1488" t="s">
        <v>2703</v>
      </c>
      <c r="H526" s="4" t="str">
        <f>'BID II'!B1240</f>
        <v>Belanja pakaian/seragam</v>
      </c>
      <c r="I526" s="1"/>
      <c r="J526" s="1"/>
      <c r="K526" s="91">
        <f>'BID II'!F1241</f>
        <v>940000</v>
      </c>
      <c r="L526" s="4" t="s">
        <v>2571</v>
      </c>
    </row>
    <row r="527" spans="1:13" x14ac:dyDescent="0.25">
      <c r="A527" s="1"/>
      <c r="B527" s="1"/>
      <c r="C527" s="1"/>
      <c r="D527" s="1">
        <v>5</v>
      </c>
      <c r="E527" s="1">
        <v>2</v>
      </c>
      <c r="F527" s="1">
        <v>2</v>
      </c>
      <c r="G527" s="1"/>
      <c r="H527" s="4" t="str">
        <f>'BID II'!B1243</f>
        <v>Belanja Jasa Honorarium</v>
      </c>
      <c r="I527" s="1"/>
      <c r="J527" s="1"/>
      <c r="K527" s="91"/>
      <c r="L527" s="1"/>
    </row>
    <row r="528" spans="1:13" ht="30" x14ac:dyDescent="0.25">
      <c r="A528" s="1"/>
      <c r="B528" s="1"/>
      <c r="C528" s="1"/>
      <c r="D528" s="1"/>
      <c r="E528" s="1"/>
      <c r="F528" s="1"/>
      <c r="G528" s="1488" t="s">
        <v>2699</v>
      </c>
      <c r="H528" s="4" t="str">
        <f>'BID II'!B1244</f>
        <v>Belanja Jasa Honorarium Petugas</v>
      </c>
      <c r="I528" s="1"/>
      <c r="J528" s="1"/>
      <c r="K528" s="91">
        <f>'BID II'!F1245</f>
        <v>12000000</v>
      </c>
      <c r="L528" s="4" t="s">
        <v>2571</v>
      </c>
    </row>
    <row r="529" spans="1:13" ht="75" x14ac:dyDescent="0.25">
      <c r="A529" s="1027">
        <v>2</v>
      </c>
      <c r="B529" s="1027">
        <v>2</v>
      </c>
      <c r="C529" s="1491" t="s">
        <v>2696</v>
      </c>
      <c r="D529" s="1027"/>
      <c r="E529" s="1027"/>
      <c r="F529" s="1027"/>
      <c r="G529" s="1027"/>
      <c r="H529" s="1028" t="str">
        <f>'BID II'!B1261</f>
        <v>: : Penyuluhan dan Pelatihan Bidang Kesehatan untuk Masyarakat (Pembuatan Video Promosi Posyandu)</v>
      </c>
      <c r="I529" s="1027"/>
      <c r="J529" s="1027"/>
      <c r="K529" s="1492">
        <f>SUM(K530:K536)</f>
        <v>21140000</v>
      </c>
      <c r="L529" s="1028" t="s">
        <v>2570</v>
      </c>
      <c r="M529" s="32">
        <f>'BID II'!F1281</f>
        <v>0</v>
      </c>
    </row>
    <row r="530" spans="1:13" x14ac:dyDescent="0.25">
      <c r="A530" s="1"/>
      <c r="B530" s="1"/>
      <c r="C530" s="1"/>
      <c r="D530" s="1">
        <v>5</v>
      </c>
      <c r="E530" s="1">
        <v>2</v>
      </c>
      <c r="F530" s="1"/>
      <c r="G530" s="1"/>
      <c r="H530" s="1" t="str">
        <f>'BID II'!B1267</f>
        <v>Belanja Barang Jasa</v>
      </c>
      <c r="I530" s="1"/>
      <c r="J530" s="1"/>
      <c r="K530" s="91"/>
      <c r="L530" s="1"/>
    </row>
    <row r="531" spans="1:13" ht="30" x14ac:dyDescent="0.25">
      <c r="A531" s="1"/>
      <c r="B531" s="1"/>
      <c r="C531" s="1"/>
      <c r="D531" s="1"/>
      <c r="E531" s="1"/>
      <c r="F531" s="1">
        <v>1</v>
      </c>
      <c r="G531" s="1"/>
      <c r="H531" s="4" t="str">
        <f>'BID II'!B1268</f>
        <v>Belanja Barang Perlengkapan</v>
      </c>
      <c r="I531" s="1"/>
      <c r="J531" s="1"/>
      <c r="K531" s="91"/>
      <c r="L531" s="1"/>
    </row>
    <row r="532" spans="1:13" ht="30" x14ac:dyDescent="0.25">
      <c r="A532" s="1"/>
      <c r="B532" s="1"/>
      <c r="C532" s="1"/>
      <c r="D532" s="1"/>
      <c r="E532" s="1"/>
      <c r="F532" s="1"/>
      <c r="G532" s="1488" t="s">
        <v>2700</v>
      </c>
      <c r="H532" s="4" t="str">
        <f>'BID II'!B1269</f>
        <v>Belanja Perlengkapan Barang Konsumsi</v>
      </c>
      <c r="I532" s="1"/>
      <c r="J532" s="1"/>
      <c r="K532" s="91">
        <f>SUM('BID II'!F1270)</f>
        <v>300000</v>
      </c>
      <c r="L532" s="4" t="s">
        <v>2570</v>
      </c>
    </row>
    <row r="533" spans="1:13" ht="30" x14ac:dyDescent="0.25">
      <c r="A533" s="1"/>
      <c r="B533" s="1"/>
      <c r="C533" s="1"/>
      <c r="D533" s="1"/>
      <c r="E533" s="1"/>
      <c r="F533" s="1"/>
      <c r="G533" s="1488" t="s">
        <v>2701</v>
      </c>
      <c r="H533" s="4" t="str">
        <f>'BID II'!B1271</f>
        <v>Belanja Bahan Material</v>
      </c>
      <c r="I533" s="1"/>
      <c r="J533" s="1"/>
      <c r="K533" s="91">
        <f>'BID II'!F1272</f>
        <v>20000000</v>
      </c>
      <c r="L533" s="4" t="s">
        <v>2570</v>
      </c>
    </row>
    <row r="534" spans="1:13" ht="30" x14ac:dyDescent="0.25">
      <c r="A534" s="1"/>
      <c r="B534" s="1"/>
      <c r="C534" s="1"/>
      <c r="D534" s="1"/>
      <c r="E534" s="1"/>
      <c r="F534" s="1"/>
      <c r="G534" s="1488" t="s">
        <v>2702</v>
      </c>
      <c r="H534" s="4" t="str">
        <f>'BID II'!B1273</f>
        <v>Belanja Bendera/ Umbul-umbul/ Spanduk</v>
      </c>
      <c r="I534" s="1"/>
      <c r="J534" s="1"/>
      <c r="K534" s="91">
        <f>'BID II'!F1274</f>
        <v>90000</v>
      </c>
      <c r="L534" s="4" t="s">
        <v>2570</v>
      </c>
    </row>
    <row r="535" spans="1:13" x14ac:dyDescent="0.25">
      <c r="A535" s="1"/>
      <c r="B535" s="1"/>
      <c r="C535" s="1"/>
      <c r="D535" s="1">
        <v>5</v>
      </c>
      <c r="E535" s="1">
        <v>2</v>
      </c>
      <c r="F535" s="1">
        <v>2</v>
      </c>
      <c r="G535" s="1"/>
      <c r="H535" s="4" t="str">
        <f>'BID II'!B1276</f>
        <v>Belanja Jasa Honorarium</v>
      </c>
      <c r="I535" s="1"/>
      <c r="J535" s="1"/>
      <c r="K535" s="91"/>
      <c r="L535" s="1"/>
    </row>
    <row r="536" spans="1:13" ht="45" x14ac:dyDescent="0.25">
      <c r="A536" s="1"/>
      <c r="B536" s="1"/>
      <c r="C536" s="1"/>
      <c r="D536" s="1"/>
      <c r="E536" s="1"/>
      <c r="F536" s="1"/>
      <c r="G536" s="1488" t="s">
        <v>2679</v>
      </c>
      <c r="H536" s="4" t="str">
        <f>'BID II'!B1277</f>
        <v>Belanja Jasa Honorarium Tim yang Melaksanakan Kegiatan (TPK )</v>
      </c>
      <c r="I536" s="1"/>
      <c r="J536" s="1"/>
      <c r="K536" s="91">
        <f>SUM('BID II'!F1278:F1280)</f>
        <v>750000</v>
      </c>
      <c r="L536" s="4" t="s">
        <v>2570</v>
      </c>
    </row>
    <row r="537" spans="1:13" ht="60" x14ac:dyDescent="0.25">
      <c r="A537" s="1027">
        <v>2</v>
      </c>
      <c r="B537" s="1027">
        <v>2</v>
      </c>
      <c r="C537" s="1491" t="s">
        <v>2700</v>
      </c>
      <c r="D537" s="1027"/>
      <c r="E537" s="1027"/>
      <c r="F537" s="1027"/>
      <c r="G537" s="1027"/>
      <c r="H537" s="1028" t="str">
        <f>'BID II'!B1295</f>
        <v xml:space="preserve"> :  Pengasuhan Bersama atau Bina Keluarga Remaja (Penyelenggaraan BKR)</v>
      </c>
      <c r="I537" s="1027"/>
      <c r="J537" s="1027"/>
      <c r="K537" s="1492">
        <f>SUM(K538:K543)</f>
        <v>14010000</v>
      </c>
      <c r="L537" s="1027"/>
      <c r="M537" s="32">
        <f>'BID II'!F1316</f>
        <v>14010000</v>
      </c>
    </row>
    <row r="538" spans="1:13" x14ac:dyDescent="0.25">
      <c r="A538" s="1"/>
      <c r="B538" s="1"/>
      <c r="C538" s="1"/>
      <c r="D538" s="1">
        <v>5</v>
      </c>
      <c r="E538" s="1">
        <v>2</v>
      </c>
      <c r="F538" s="1"/>
      <c r="G538" s="1"/>
      <c r="H538" s="1" t="str">
        <f>'BID II'!B1300</f>
        <v>Belanja Barang Jasa</v>
      </c>
      <c r="I538" s="1"/>
      <c r="J538" s="1"/>
      <c r="K538" s="91"/>
      <c r="L538" s="1"/>
    </row>
    <row r="539" spans="1:13" ht="30" x14ac:dyDescent="0.25">
      <c r="A539" s="1"/>
      <c r="B539" s="1"/>
      <c r="C539" s="1"/>
      <c r="D539" s="1"/>
      <c r="E539" s="1"/>
      <c r="F539" s="1">
        <v>1</v>
      </c>
      <c r="G539" s="1"/>
      <c r="H539" s="4" t="str">
        <f>'BID II'!B1301</f>
        <v>Belanja Barang Perlengkapan</v>
      </c>
      <c r="I539" s="1"/>
      <c r="J539" s="1"/>
      <c r="K539" s="91"/>
      <c r="L539" s="1"/>
    </row>
    <row r="540" spans="1:13" ht="30" x14ac:dyDescent="0.25">
      <c r="A540" s="1"/>
      <c r="B540" s="1"/>
      <c r="C540" s="1"/>
      <c r="D540" s="1"/>
      <c r="E540" s="1"/>
      <c r="F540" s="1"/>
      <c r="G540" s="1488" t="s">
        <v>2679</v>
      </c>
      <c r="H540" s="4" t="str">
        <f>'BID II'!B1302</f>
        <v>Belanja Alat Tulis Kantor dan Benda Pos</v>
      </c>
      <c r="I540" s="1"/>
      <c r="J540" s="1"/>
      <c r="K540" s="91">
        <f>SUM('BID II'!F1303:F1306)</f>
        <v>1110000</v>
      </c>
      <c r="L540" s="1" t="s">
        <v>2565</v>
      </c>
    </row>
    <row r="541" spans="1:13" ht="30" x14ac:dyDescent="0.25">
      <c r="A541" s="1"/>
      <c r="B541" s="1"/>
      <c r="C541" s="1"/>
      <c r="D541" s="1"/>
      <c r="E541" s="1"/>
      <c r="F541" s="1"/>
      <c r="G541" s="1488" t="s">
        <v>2700</v>
      </c>
      <c r="H541" s="4" t="str">
        <f>'BID II'!B1308</f>
        <v>Belanja Perlengkapan Barang Konsumsi</v>
      </c>
      <c r="I541" s="1"/>
      <c r="J541" s="1"/>
      <c r="K541" s="91">
        <f>'BID II'!F1310</f>
        <v>900000</v>
      </c>
      <c r="L541" s="1" t="s">
        <v>2565</v>
      </c>
    </row>
    <row r="542" spans="1:13" x14ac:dyDescent="0.25">
      <c r="A542" s="1"/>
      <c r="B542" s="1"/>
      <c r="C542" s="1"/>
      <c r="D542" s="1">
        <v>5</v>
      </c>
      <c r="E542" s="1">
        <v>2</v>
      </c>
      <c r="F542" s="1">
        <v>2</v>
      </c>
      <c r="G542" s="1"/>
      <c r="H542" s="4" t="str">
        <f>'BID II'!B1312</f>
        <v>Belanja Jasa Honorarium</v>
      </c>
      <c r="I542" s="1"/>
      <c r="J542" s="1"/>
      <c r="K542" s="91"/>
      <c r="L542" s="1"/>
    </row>
    <row r="543" spans="1:13" ht="30" x14ac:dyDescent="0.25">
      <c r="A543" s="1"/>
      <c r="B543" s="1"/>
      <c r="C543" s="1"/>
      <c r="D543" s="1"/>
      <c r="E543" s="1"/>
      <c r="F543" s="1"/>
      <c r="G543" s="1488" t="s">
        <v>2699</v>
      </c>
      <c r="H543" s="4" t="str">
        <f>'BID II'!B1313</f>
        <v>Belanja Jasa Honorarium Petugas</v>
      </c>
      <c r="I543" s="1"/>
      <c r="J543" s="1"/>
      <c r="K543" s="91">
        <f>'BID II'!F1314</f>
        <v>12000000</v>
      </c>
      <c r="L543" s="1" t="s">
        <v>2565</v>
      </c>
    </row>
    <row r="544" spans="1:13" x14ac:dyDescent="0.25">
      <c r="A544" s="1027">
        <v>2</v>
      </c>
      <c r="B544" s="1027">
        <v>2</v>
      </c>
      <c r="C544" s="1027">
        <v>91</v>
      </c>
      <c r="D544" s="1027"/>
      <c r="E544" s="1027"/>
      <c r="F544" s="1027"/>
      <c r="G544" s="1027"/>
      <c r="H544" s="1027" t="str">
        <f>'BID II'!B1331</f>
        <v>:  Foging Fokus</v>
      </c>
      <c r="I544" s="1027"/>
      <c r="J544" s="1027"/>
      <c r="K544" s="1492">
        <f>SUM(K545:K553)</f>
        <v>17510000</v>
      </c>
      <c r="L544" s="1027"/>
      <c r="M544" s="32">
        <f>'BID II'!F1360</f>
        <v>17510000</v>
      </c>
    </row>
    <row r="545" spans="1:13" x14ac:dyDescent="0.25">
      <c r="A545" s="1"/>
      <c r="B545" s="1"/>
      <c r="C545" s="1"/>
      <c r="D545" s="1">
        <v>5</v>
      </c>
      <c r="E545" s="1">
        <v>2</v>
      </c>
      <c r="F545" s="1"/>
      <c r="G545" s="1"/>
      <c r="H545" s="4" t="str">
        <f>'BID II'!B1338</f>
        <v xml:space="preserve">Belanja Barang dan Jasa </v>
      </c>
      <c r="I545" s="1"/>
      <c r="J545" s="1"/>
      <c r="K545" s="91"/>
      <c r="L545" s="1"/>
    </row>
    <row r="546" spans="1:13" ht="30" x14ac:dyDescent="0.25">
      <c r="A546" s="1"/>
      <c r="B546" s="1"/>
      <c r="C546" s="1"/>
      <c r="D546" s="1"/>
      <c r="E546" s="1"/>
      <c r="F546" s="1">
        <v>1</v>
      </c>
      <c r="G546" s="1"/>
      <c r="H546" s="4" t="str">
        <f>'BID II'!B1339</f>
        <v>Belanja Barang perlengkapan</v>
      </c>
      <c r="I546" s="1"/>
      <c r="J546" s="1"/>
      <c r="K546" s="91"/>
      <c r="L546" s="1"/>
    </row>
    <row r="547" spans="1:13" ht="45" x14ac:dyDescent="0.25">
      <c r="A547" s="1"/>
      <c r="B547" s="1"/>
      <c r="C547" s="1"/>
      <c r="D547" s="1"/>
      <c r="E547" s="1"/>
      <c r="F547" s="1"/>
      <c r="G547" s="1488" t="s">
        <v>2700</v>
      </c>
      <c r="H547" s="4" t="str">
        <f>'BID II'!B1340</f>
        <v>Belanja Perlengkapan Barang konsumsi</v>
      </c>
      <c r="I547" s="1"/>
      <c r="J547" s="1"/>
      <c r="K547" s="91">
        <f>'BID II'!F1341</f>
        <v>1800000</v>
      </c>
      <c r="L547" s="4" t="s">
        <v>2568</v>
      </c>
    </row>
    <row r="548" spans="1:13" ht="45" x14ac:dyDescent="0.25">
      <c r="A548" s="1"/>
      <c r="B548" s="1"/>
      <c r="C548" s="1"/>
      <c r="D548" s="1"/>
      <c r="E548" s="1"/>
      <c r="F548" s="1"/>
      <c r="G548" s="1488" t="s">
        <v>2701</v>
      </c>
      <c r="H548" s="4" t="str">
        <f>'BID II'!B1342</f>
        <v>Belanja Bahan /Material</v>
      </c>
      <c r="I548" s="1"/>
      <c r="J548" s="1"/>
      <c r="K548" s="91">
        <f>SUM('BID II'!F1343:F1349)</f>
        <v>9460000</v>
      </c>
      <c r="L548" s="4" t="s">
        <v>2568</v>
      </c>
    </row>
    <row r="549" spans="1:13" x14ac:dyDescent="0.25">
      <c r="A549" s="1"/>
      <c r="B549" s="1"/>
      <c r="C549" s="1"/>
      <c r="D549" s="1">
        <v>5</v>
      </c>
      <c r="E549" s="1">
        <v>2</v>
      </c>
      <c r="F549" s="1">
        <v>2</v>
      </c>
      <c r="G549" s="1"/>
      <c r="H549" s="4" t="str">
        <f>'BID II'!B1350</f>
        <v>Belanja Jasa Honorarium</v>
      </c>
      <c r="I549" s="1"/>
      <c r="J549" s="1"/>
      <c r="K549" s="91"/>
      <c r="L549" s="4"/>
    </row>
    <row r="550" spans="1:13" ht="45" x14ac:dyDescent="0.25">
      <c r="A550" s="1"/>
      <c r="B550" s="1"/>
      <c r="C550" s="1"/>
      <c r="D550" s="1"/>
      <c r="E550" s="1"/>
      <c r="F550" s="1"/>
      <c r="G550" s="1488" t="s">
        <v>2679</v>
      </c>
      <c r="H550" s="4" t="str">
        <f>'BID II'!B1351</f>
        <v>Belanja Jasa Honorarium Tim Yang Melaksanakan kegiatan</v>
      </c>
      <c r="I550" s="1"/>
      <c r="J550" s="1"/>
      <c r="K550" s="91">
        <f>SUM('BID II'!F1352:F1354)</f>
        <v>750000</v>
      </c>
      <c r="L550" s="4" t="s">
        <v>2568</v>
      </c>
    </row>
    <row r="551" spans="1:13" ht="45" x14ac:dyDescent="0.25">
      <c r="A551" s="1"/>
      <c r="B551" s="1"/>
      <c r="C551" s="1"/>
      <c r="D551" s="1"/>
      <c r="E551" s="1"/>
      <c r="F551" s="1"/>
      <c r="G551" s="1488" t="s">
        <v>2699</v>
      </c>
      <c r="H551" s="4" t="str">
        <f>'BID II'!B1355</f>
        <v>Belanja Jasa Honorarium Petugas</v>
      </c>
      <c r="I551" s="1"/>
      <c r="J551" s="1"/>
      <c r="K551" s="91">
        <f>'BID II'!F1356</f>
        <v>3000000</v>
      </c>
      <c r="L551" s="4" t="s">
        <v>2568</v>
      </c>
    </row>
    <row r="552" spans="1:13" x14ac:dyDescent="0.25">
      <c r="A552" s="1"/>
      <c r="B552" s="1"/>
      <c r="C552" s="1"/>
      <c r="D552" s="1">
        <v>5</v>
      </c>
      <c r="E552" s="1">
        <v>2</v>
      </c>
      <c r="F552" s="1">
        <v>6</v>
      </c>
      <c r="G552" s="1"/>
      <c r="H552" s="4" t="str">
        <f>'BID II'!B1357</f>
        <v>Belanja pemeliharaan</v>
      </c>
      <c r="I552" s="1"/>
      <c r="J552" s="1"/>
      <c r="K552" s="91"/>
      <c r="L552" s="4"/>
    </row>
    <row r="553" spans="1:13" ht="45" x14ac:dyDescent="0.25">
      <c r="A553" s="1"/>
      <c r="B553" s="1"/>
      <c r="C553" s="1"/>
      <c r="D553" s="1"/>
      <c r="E553" s="1"/>
      <c r="F553" s="1"/>
      <c r="G553" s="1488" t="s">
        <v>2679</v>
      </c>
      <c r="H553" s="4" t="str">
        <f>'BID II'!B1358</f>
        <v>Perawatan Mesin (10onit x 1th)</v>
      </c>
      <c r="I553" s="1"/>
      <c r="J553" s="1"/>
      <c r="K553" s="91">
        <f>'BID II'!F1358</f>
        <v>2500000</v>
      </c>
      <c r="L553" s="4" t="s">
        <v>2568</v>
      </c>
    </row>
    <row r="554" spans="1:13" ht="30" x14ac:dyDescent="0.25">
      <c r="A554" s="1027">
        <v>2</v>
      </c>
      <c r="B554" s="1027">
        <v>2</v>
      </c>
      <c r="C554" s="1027">
        <v>92</v>
      </c>
      <c r="D554" s="1027"/>
      <c r="E554" s="1027"/>
      <c r="F554" s="1027"/>
      <c r="G554" s="1027"/>
      <c r="H554" s="1028" t="str">
        <f>'BID II'!B1374</f>
        <v>: Gerakan Serentak PSN dan Lomba PSN</v>
      </c>
      <c r="I554" s="1027"/>
      <c r="J554" s="1027"/>
      <c r="K554" s="1492">
        <f>SUM(K555:K567)</f>
        <v>41507000</v>
      </c>
      <c r="L554" s="1027"/>
      <c r="M554" s="32">
        <f>'BID II'!F1413</f>
        <v>41507000</v>
      </c>
    </row>
    <row r="555" spans="1:13" x14ac:dyDescent="0.25">
      <c r="A555" s="1"/>
      <c r="B555" s="1"/>
      <c r="C555" s="1"/>
      <c r="D555" s="1">
        <v>5</v>
      </c>
      <c r="E555" s="1">
        <v>2</v>
      </c>
      <c r="F555" s="1"/>
      <c r="G555" s="1"/>
      <c r="H555" s="4" t="str">
        <f>'BID II'!B1381</f>
        <v xml:space="preserve">Belanja Barang dan Jasa </v>
      </c>
      <c r="I555" s="1"/>
      <c r="J555" s="1"/>
      <c r="K555" s="91"/>
      <c r="L555" s="1"/>
    </row>
    <row r="556" spans="1:13" ht="30" x14ac:dyDescent="0.25">
      <c r="A556" s="1"/>
      <c r="B556" s="1"/>
      <c r="C556" s="1"/>
      <c r="D556" s="1"/>
      <c r="E556" s="1"/>
      <c r="F556" s="1">
        <v>1</v>
      </c>
      <c r="G556" s="1"/>
      <c r="H556" s="4" t="str">
        <f>'BID II'!B1382</f>
        <v>Belanja Barang perlengkapan</v>
      </c>
      <c r="I556" s="1"/>
      <c r="J556" s="1"/>
      <c r="K556" s="91"/>
      <c r="L556" s="1"/>
    </row>
    <row r="557" spans="1:13" ht="30" x14ac:dyDescent="0.25">
      <c r="A557" s="1"/>
      <c r="B557" s="1"/>
      <c r="C557" s="1"/>
      <c r="D557" s="1"/>
      <c r="E557" s="1"/>
      <c r="F557" s="1"/>
      <c r="G557" s="1488" t="s">
        <v>2700</v>
      </c>
      <c r="H557" s="4" t="str">
        <f>'BID II'!B1383</f>
        <v>Belanja Perlengkapan Barang Konsumsi</v>
      </c>
      <c r="I557" s="1"/>
      <c r="J557" s="1"/>
      <c r="K557" s="91">
        <f>SUM('BID II'!F1384:F1385)</f>
        <v>19950000</v>
      </c>
      <c r="L557" s="4" t="s">
        <v>2570</v>
      </c>
    </row>
    <row r="558" spans="1:13" ht="30" x14ac:dyDescent="0.25">
      <c r="A558" s="1"/>
      <c r="B558" s="1"/>
      <c r="C558" s="1"/>
      <c r="D558" s="1"/>
      <c r="E558" s="1"/>
      <c r="F558" s="1"/>
      <c r="G558" s="1488" t="s">
        <v>2702</v>
      </c>
      <c r="H558" s="4" t="str">
        <f>'BID II'!B1386</f>
        <v>Belanja Bendera/ Umbul-umbul/ Spanduk</v>
      </c>
      <c r="I558" s="1"/>
      <c r="J558" s="1"/>
      <c r="K558" s="91">
        <f>SUM('BID II'!F1387:F1388)</f>
        <v>2670000</v>
      </c>
      <c r="L558" s="4" t="s">
        <v>2570</v>
      </c>
    </row>
    <row r="559" spans="1:13" x14ac:dyDescent="0.25">
      <c r="A559" s="1"/>
      <c r="B559" s="1"/>
      <c r="C559" s="1"/>
      <c r="D559" s="1">
        <v>5</v>
      </c>
      <c r="E559" s="1">
        <v>2</v>
      </c>
      <c r="F559" s="1"/>
      <c r="G559" s="1"/>
      <c r="H559" s="4" t="str">
        <f>'BID II'!B1390</f>
        <v xml:space="preserve">Belanja Barang dan Jasa </v>
      </c>
      <c r="I559" s="1"/>
      <c r="J559" s="1"/>
      <c r="K559" s="91"/>
      <c r="L559" s="1"/>
    </row>
    <row r="560" spans="1:13" ht="30" x14ac:dyDescent="0.25">
      <c r="A560" s="1"/>
      <c r="B560" s="1"/>
      <c r="C560" s="1"/>
      <c r="D560" s="1"/>
      <c r="E560" s="1"/>
      <c r="F560" s="1">
        <v>1</v>
      </c>
      <c r="G560" s="1"/>
      <c r="H560" s="4" t="str">
        <f>'BID II'!B1391</f>
        <v>Belanja Barang perlengkapan</v>
      </c>
      <c r="I560" s="1"/>
      <c r="J560" s="1"/>
      <c r="K560" s="91"/>
      <c r="L560" s="1"/>
    </row>
    <row r="561" spans="1:13" ht="30" x14ac:dyDescent="0.25">
      <c r="A561" s="1"/>
      <c r="B561" s="1"/>
      <c r="C561" s="1"/>
      <c r="D561" s="1"/>
      <c r="E561" s="1"/>
      <c r="F561" s="1"/>
      <c r="G561" s="1488" t="s">
        <v>2700</v>
      </c>
      <c r="H561" s="4" t="str">
        <f>'BID II'!B1392</f>
        <v>Belanja Perlengkapan Barang Konsumsi</v>
      </c>
      <c r="I561" s="1"/>
      <c r="J561" s="1"/>
      <c r="K561" s="91">
        <f>SUM('BID II'!F1393)</f>
        <v>945000</v>
      </c>
      <c r="L561" s="4" t="s">
        <v>2570</v>
      </c>
    </row>
    <row r="562" spans="1:13" ht="30" x14ac:dyDescent="0.25">
      <c r="A562" s="1"/>
      <c r="B562" s="1"/>
      <c r="C562" s="1"/>
      <c r="D562" s="1"/>
      <c r="E562" s="1"/>
      <c r="F562" s="1"/>
      <c r="G562" s="1488" t="s">
        <v>2703</v>
      </c>
      <c r="H562" s="4" t="str">
        <f>'BID II'!B1394</f>
        <v>Belanja Pakaian Dinas / Seragam/ Atribut</v>
      </c>
      <c r="I562" s="1"/>
      <c r="J562" s="1"/>
      <c r="K562" s="91">
        <f>SUM('BID II'!F1395:F1399)</f>
        <v>3592000</v>
      </c>
      <c r="L562" s="4" t="s">
        <v>2570</v>
      </c>
    </row>
    <row r="563" spans="1:13" x14ac:dyDescent="0.25">
      <c r="A563" s="1"/>
      <c r="B563" s="1"/>
      <c r="C563" s="1"/>
      <c r="D563" s="1">
        <v>5</v>
      </c>
      <c r="E563" s="1">
        <v>2</v>
      </c>
      <c r="F563" s="1">
        <v>2</v>
      </c>
      <c r="G563" s="1"/>
      <c r="H563" s="4" t="str">
        <f>'BID II'!B1400</f>
        <v>Belanaj Jasa Honorarium</v>
      </c>
      <c r="I563" s="1"/>
      <c r="J563" s="1"/>
      <c r="K563" s="91"/>
      <c r="L563" s="1"/>
    </row>
    <row r="564" spans="1:13" ht="30" x14ac:dyDescent="0.25">
      <c r="A564" s="1"/>
      <c r="B564" s="1"/>
      <c r="C564" s="1"/>
      <c r="D564" s="1"/>
      <c r="E564" s="1"/>
      <c r="F564" s="1"/>
      <c r="G564" s="1488" t="s">
        <v>2679</v>
      </c>
      <c r="H564" s="4" t="str">
        <f>'BID II'!B1401</f>
        <v>Honor Tim yang Melaksanakan Kegiatan</v>
      </c>
      <c r="I564" s="1"/>
      <c r="J564" s="1"/>
      <c r="K564" s="91">
        <f>SUM('BID II'!F1402:F1404)</f>
        <v>1150000</v>
      </c>
      <c r="L564" s="4" t="s">
        <v>2570</v>
      </c>
    </row>
    <row r="565" spans="1:13" ht="60" x14ac:dyDescent="0.25">
      <c r="A565" s="1"/>
      <c r="B565" s="1"/>
      <c r="C565" s="1"/>
      <c r="D565" s="1"/>
      <c r="E565" s="1"/>
      <c r="F565" s="1"/>
      <c r="G565" s="1488" t="s">
        <v>2697</v>
      </c>
      <c r="H565" s="4" t="str">
        <f>'BID II'!B1405</f>
        <v>Belanja Jasa Honorarium Ahli/ Profesi/Konsultan/Narasumber</v>
      </c>
      <c r="I565" s="1"/>
      <c r="J565" s="1"/>
      <c r="K565" s="91">
        <f>'BID II'!F1406</f>
        <v>1200000</v>
      </c>
      <c r="L565" s="4" t="s">
        <v>2570</v>
      </c>
    </row>
    <row r="566" spans="1:13" ht="30" x14ac:dyDescent="0.25">
      <c r="A566" s="1"/>
      <c r="B566" s="1"/>
      <c r="C566" s="1"/>
      <c r="D566" s="1">
        <v>5</v>
      </c>
      <c r="E566" s="1">
        <v>2</v>
      </c>
      <c r="F566" s="1">
        <v>7</v>
      </c>
      <c r="G566" s="1"/>
      <c r="H566" s="4" t="str">
        <f>'BID II'!B1407</f>
        <v>Belanja Barang dan Jasa Yang Di Serahkan</v>
      </c>
      <c r="I566" s="1"/>
      <c r="J566" s="1"/>
      <c r="K566" s="91"/>
      <c r="L566" s="1"/>
    </row>
    <row r="567" spans="1:13" ht="30" x14ac:dyDescent="0.25">
      <c r="A567" s="1"/>
      <c r="B567" s="1"/>
      <c r="C567" s="1"/>
      <c r="D567" s="1"/>
      <c r="E567" s="1"/>
      <c r="F567" s="1"/>
      <c r="G567" s="1">
        <v>90</v>
      </c>
      <c r="H567" s="1" t="str">
        <f>'BID II'!B1408</f>
        <v>Hadiah</v>
      </c>
      <c r="I567" s="1"/>
      <c r="J567" s="1"/>
      <c r="K567" s="91">
        <f>SUM('BID II'!F1409:F1411)</f>
        <v>12000000</v>
      </c>
      <c r="L567" s="4" t="s">
        <v>2570</v>
      </c>
    </row>
    <row r="568" spans="1:13" ht="30" x14ac:dyDescent="0.25">
      <c r="A568" s="1027">
        <v>2</v>
      </c>
      <c r="B568" s="1027">
        <v>2</v>
      </c>
      <c r="C568" s="1027">
        <v>93</v>
      </c>
      <c r="D568" s="1027"/>
      <c r="E568" s="1027"/>
      <c r="F568" s="1027"/>
      <c r="G568" s="1027"/>
      <c r="H568" s="1028" t="str">
        <f>'BID II'!B1426</f>
        <v xml:space="preserve">Penyelengggaraan TPPS Desa </v>
      </c>
      <c r="I568" s="1027"/>
      <c r="J568" s="1027"/>
      <c r="K568" s="1492">
        <f>SUM(K569:K574)</f>
        <v>5236500</v>
      </c>
      <c r="L568" s="1027"/>
      <c r="M568" s="83">
        <f>'BID II'!F1450</f>
        <v>5236500</v>
      </c>
    </row>
    <row r="569" spans="1:13" x14ac:dyDescent="0.25">
      <c r="A569" s="1"/>
      <c r="B569" s="1"/>
      <c r="C569" s="1"/>
      <c r="D569" s="1">
        <v>5</v>
      </c>
      <c r="E569" s="1">
        <v>2</v>
      </c>
      <c r="F569" s="1"/>
      <c r="G569" s="1"/>
      <c r="H569" s="4" t="str">
        <f>'BID II'!B1431</f>
        <v>Belanja Barang Jasa :</v>
      </c>
      <c r="I569" s="1"/>
      <c r="J569" s="1"/>
      <c r="K569" s="91"/>
      <c r="L569" s="1"/>
    </row>
    <row r="570" spans="1:13" ht="30" x14ac:dyDescent="0.25">
      <c r="A570" s="1"/>
      <c r="B570" s="1"/>
      <c r="C570" s="1"/>
      <c r="D570" s="1"/>
      <c r="E570" s="1"/>
      <c r="F570" s="1">
        <v>1</v>
      </c>
      <c r="G570" s="1"/>
      <c r="H570" s="4" t="str">
        <f>'BID II'!B1432</f>
        <v>Belanja Barang Perlengkapan</v>
      </c>
      <c r="I570" s="1"/>
      <c r="J570" s="1"/>
      <c r="K570" s="91"/>
      <c r="L570" s="1"/>
    </row>
    <row r="571" spans="1:13" ht="45" x14ac:dyDescent="0.25">
      <c r="A571" s="1"/>
      <c r="B571" s="1"/>
      <c r="C571" s="1"/>
      <c r="D571" s="1"/>
      <c r="E571" s="1"/>
      <c r="F571" s="1"/>
      <c r="G571" s="1488" t="s">
        <v>2679</v>
      </c>
      <c r="H571" s="4" t="str">
        <f>'BID II'!B1433</f>
        <v>Belanja perlengkapan alat tulis kantor dan Benda Pos</v>
      </c>
      <c r="I571" s="1"/>
      <c r="J571" s="1"/>
      <c r="K571" s="91">
        <f>SUM('BID II'!F1434:F1439)</f>
        <v>636500</v>
      </c>
      <c r="L571" s="4" t="s">
        <v>2569</v>
      </c>
    </row>
    <row r="572" spans="1:13" ht="60" x14ac:dyDescent="0.25">
      <c r="A572" s="1"/>
      <c r="B572" s="1"/>
      <c r="C572" s="1"/>
      <c r="D572" s="1"/>
      <c r="E572" s="1"/>
      <c r="F572" s="1"/>
      <c r="G572" s="1488" t="s">
        <v>2700</v>
      </c>
      <c r="H572" s="4" t="str">
        <f>'BID II'!B1443</f>
        <v>Belanja perlengkapan barang konsumsi (makan/ minum) Belanja Barang konsumsi</v>
      </c>
      <c r="I572" s="1"/>
      <c r="J572" s="1"/>
      <c r="K572" s="91">
        <f>'BID II'!F1444</f>
        <v>3000000</v>
      </c>
      <c r="L572" s="4" t="s">
        <v>2569</v>
      </c>
    </row>
    <row r="573" spans="1:13" x14ac:dyDescent="0.25">
      <c r="A573" s="1"/>
      <c r="B573" s="1"/>
      <c r="C573" s="1"/>
      <c r="D573" s="1">
        <v>5</v>
      </c>
      <c r="E573" s="1">
        <v>2</v>
      </c>
      <c r="F573" s="1">
        <v>2</v>
      </c>
      <c r="G573" s="1"/>
      <c r="H573" s="1" t="str">
        <f>'BID II'!B1446</f>
        <v>Belanja Jasa Honorarium</v>
      </c>
      <c r="I573" s="1"/>
      <c r="J573" s="1"/>
      <c r="K573" s="91"/>
      <c r="L573" s="1"/>
    </row>
    <row r="574" spans="1:13" ht="30" x14ac:dyDescent="0.25">
      <c r="A574" s="1"/>
      <c r="B574" s="1"/>
      <c r="C574" s="1"/>
      <c r="D574" s="1"/>
      <c r="E574" s="1"/>
      <c r="F574" s="1"/>
      <c r="G574" s="1488" t="s">
        <v>2699</v>
      </c>
      <c r="H574" s="1" t="str">
        <f>'BID II'!B1447</f>
        <v>Honorarium Petugas</v>
      </c>
      <c r="I574" s="1"/>
      <c r="J574" s="1"/>
      <c r="K574" s="91">
        <f>'BID II'!F1448</f>
        <v>1600000</v>
      </c>
      <c r="L574" s="4" t="s">
        <v>2569</v>
      </c>
    </row>
    <row r="575" spans="1:13" x14ac:dyDescent="0.25">
      <c r="A575" s="1027">
        <v>2</v>
      </c>
      <c r="B575" s="1027">
        <v>2</v>
      </c>
      <c r="C575" s="1027">
        <v>93</v>
      </c>
      <c r="D575" s="1027"/>
      <c r="E575" s="1027"/>
      <c r="F575" s="1027"/>
      <c r="G575" s="1027"/>
      <c r="H575" s="1027" t="str">
        <f>'BID II'!B1463</f>
        <v>: Rembuk Stunting</v>
      </c>
      <c r="I575" s="1027"/>
      <c r="J575" s="1027"/>
      <c r="K575" s="1492">
        <f>SUM(K576:K582)</f>
        <v>2894687.09</v>
      </c>
      <c r="L575" s="1027"/>
      <c r="M575" s="32">
        <f>'BID II'!F1485</f>
        <v>2894687.09</v>
      </c>
    </row>
    <row r="576" spans="1:13" x14ac:dyDescent="0.25">
      <c r="A576" s="1"/>
      <c r="B576" s="1"/>
      <c r="C576" s="1"/>
      <c r="D576" s="1">
        <v>5</v>
      </c>
      <c r="E576" s="1">
        <v>2</v>
      </c>
      <c r="F576" s="1"/>
      <c r="G576" s="1"/>
      <c r="H576" s="4" t="str">
        <f>'BID II'!B1466</f>
        <v>Belanja Barang Jasa</v>
      </c>
      <c r="I576" s="1"/>
      <c r="J576" s="1"/>
      <c r="K576" s="91"/>
      <c r="L576" s="1"/>
    </row>
    <row r="577" spans="1:13" ht="30" x14ac:dyDescent="0.25">
      <c r="A577" s="1"/>
      <c r="B577" s="1"/>
      <c r="C577" s="1"/>
      <c r="D577" s="1"/>
      <c r="E577" s="1"/>
      <c r="F577" s="1">
        <v>1</v>
      </c>
      <c r="G577" s="1"/>
      <c r="H577" s="4" t="str">
        <f>'BID II'!B1467</f>
        <v>Belanja Barang Perlengkapan</v>
      </c>
      <c r="I577" s="1"/>
      <c r="J577" s="1"/>
      <c r="K577" s="91"/>
      <c r="L577" s="1"/>
    </row>
    <row r="578" spans="1:13" ht="30" x14ac:dyDescent="0.25">
      <c r="A578" s="1"/>
      <c r="B578" s="1"/>
      <c r="C578" s="1"/>
      <c r="D578" s="1"/>
      <c r="E578" s="1"/>
      <c r="F578" s="1"/>
      <c r="G578" s="1488" t="s">
        <v>2679</v>
      </c>
      <c r="H578" s="4" t="str">
        <f>'BID II'!B1468</f>
        <v>Belanja Alat Tulis Kantor dan Benda Pos</v>
      </c>
      <c r="I578" s="1"/>
      <c r="J578" s="1"/>
      <c r="K578" s="91">
        <f>SUM('BID II'!F1469:F1472)</f>
        <v>526000</v>
      </c>
      <c r="L578" s="4" t="s">
        <v>2569</v>
      </c>
    </row>
    <row r="579" spans="1:13" ht="30" x14ac:dyDescent="0.25">
      <c r="A579" s="1"/>
      <c r="B579" s="1"/>
      <c r="C579" s="1"/>
      <c r="D579" s="1"/>
      <c r="E579" s="1"/>
      <c r="F579" s="1"/>
      <c r="G579" s="1488" t="s">
        <v>2700</v>
      </c>
      <c r="H579" s="4" t="str">
        <f>'BID II'!B1474</f>
        <v>Belanja Perlengkapan Barang Konsumsi</v>
      </c>
      <c r="I579" s="1"/>
      <c r="J579" s="1"/>
      <c r="K579" s="91">
        <f>'BID II'!F1475</f>
        <v>525000</v>
      </c>
      <c r="L579" s="4" t="s">
        <v>2569</v>
      </c>
    </row>
    <row r="580" spans="1:13" ht="30" x14ac:dyDescent="0.25">
      <c r="A580" s="1"/>
      <c r="B580" s="1"/>
      <c r="C580" s="1"/>
      <c r="D580" s="1"/>
      <c r="E580" s="1"/>
      <c r="F580" s="1"/>
      <c r="G580" s="1488" t="s">
        <v>2702</v>
      </c>
      <c r="H580" s="4" t="str">
        <f>'BID II'!B1477</f>
        <v>Belanja Bendera/ Umbul-umbul/ Spanduk</v>
      </c>
      <c r="I580" s="1"/>
      <c r="J580" s="1"/>
      <c r="K580" s="91">
        <f>'BID II'!F1478</f>
        <v>93687.09</v>
      </c>
      <c r="L580" s="4" t="s">
        <v>2569</v>
      </c>
    </row>
    <row r="581" spans="1:13" ht="45" x14ac:dyDescent="0.25">
      <c r="A581" s="1"/>
      <c r="B581" s="1"/>
      <c r="C581" s="1"/>
      <c r="D581" s="1">
        <v>5</v>
      </c>
      <c r="E581" s="1">
        <v>2</v>
      </c>
      <c r="F581" s="1">
        <v>7</v>
      </c>
      <c r="G581" s="1"/>
      <c r="H581" s="4" t="str">
        <f>'BID II'!B1480</f>
        <v>Belanja barang Jasa yang diserahkan kepada masyarakat</v>
      </c>
      <c r="I581" s="1"/>
      <c r="J581" s="1"/>
      <c r="K581" s="91"/>
      <c r="L581" s="1"/>
    </row>
    <row r="582" spans="1:13" ht="30" x14ac:dyDescent="0.25">
      <c r="A582" s="1"/>
      <c r="B582" s="1"/>
      <c r="C582" s="1"/>
      <c r="D582" s="1"/>
      <c r="E582" s="1"/>
      <c r="F582" s="1"/>
      <c r="G582" s="1">
        <v>91</v>
      </c>
      <c r="H582" s="4" t="str">
        <f>'BID II'!B1481</f>
        <v>Belanja Uang Saku</v>
      </c>
      <c r="I582" s="1"/>
      <c r="J582" s="1"/>
      <c r="K582" s="91">
        <f>'BID II'!F1482</f>
        <v>1750000</v>
      </c>
      <c r="L582" s="4" t="s">
        <v>2569</v>
      </c>
    </row>
    <row r="583" spans="1:13" ht="30" x14ac:dyDescent="0.25">
      <c r="A583" s="1027">
        <v>2</v>
      </c>
      <c r="B583" s="1027">
        <v>2</v>
      </c>
      <c r="C583" s="1491" t="s">
        <v>2700</v>
      </c>
      <c r="D583" s="1027"/>
      <c r="E583" s="1027"/>
      <c r="F583" s="1027"/>
      <c r="G583" s="1027"/>
      <c r="H583" s="1028" t="str">
        <f>'BID II'!B1499</f>
        <v>: Penyelenggaraan Posyandu Remaja</v>
      </c>
      <c r="I583" s="1027"/>
      <c r="J583" s="1027"/>
      <c r="K583" s="1492">
        <f>SUM(K585:K590)</f>
        <v>58301000</v>
      </c>
      <c r="L583" s="1027"/>
      <c r="M583" s="32">
        <f>'BID II'!F1529</f>
        <v>61113400</v>
      </c>
    </row>
    <row r="584" spans="1:13" x14ac:dyDescent="0.25">
      <c r="A584" s="1"/>
      <c r="B584" s="1"/>
      <c r="C584" s="1"/>
      <c r="D584" s="1">
        <v>5</v>
      </c>
      <c r="E584" s="1">
        <v>2</v>
      </c>
      <c r="F584" s="1"/>
      <c r="G584" s="1"/>
      <c r="H584" s="4" t="str">
        <f>'BID II'!B1504</f>
        <v>Belanja Barang Jasa</v>
      </c>
      <c r="I584" s="1"/>
      <c r="J584" s="1"/>
      <c r="K584" s="91"/>
      <c r="L584" s="1"/>
    </row>
    <row r="585" spans="1:13" ht="30" x14ac:dyDescent="0.25">
      <c r="A585" s="1"/>
      <c r="B585" s="1"/>
      <c r="C585" s="1"/>
      <c r="D585" s="1"/>
      <c r="E585" s="1"/>
      <c r="F585" s="1">
        <v>1</v>
      </c>
      <c r="G585" s="1"/>
      <c r="H585" s="4" t="str">
        <f>'BID II'!B1505</f>
        <v>Belanja Barang Perlengkapan</v>
      </c>
      <c r="I585" s="1"/>
      <c r="J585" s="1"/>
      <c r="K585" s="91"/>
      <c r="L585" s="1"/>
    </row>
    <row r="586" spans="1:13" ht="30" x14ac:dyDescent="0.25">
      <c r="A586" s="1"/>
      <c r="B586" s="1"/>
      <c r="C586" s="1"/>
      <c r="D586" s="1"/>
      <c r="E586" s="1"/>
      <c r="F586" s="1"/>
      <c r="G586" s="1488" t="s">
        <v>2679</v>
      </c>
      <c r="H586" s="4" t="str">
        <f>'BID II'!B1506</f>
        <v>Belanja Alat Tulis Kantor dan Benda Pos</v>
      </c>
      <c r="I586" s="1"/>
      <c r="J586" s="1"/>
      <c r="K586" s="91">
        <f>SUM('BID II'!F1507:F1510)</f>
        <v>581000</v>
      </c>
      <c r="L586" s="4" t="s">
        <v>2569</v>
      </c>
    </row>
    <row r="587" spans="1:13" ht="30" x14ac:dyDescent="0.25">
      <c r="A587" s="1"/>
      <c r="B587" s="1"/>
      <c r="C587" s="1"/>
      <c r="D587" s="1"/>
      <c r="E587" s="1"/>
      <c r="F587" s="1"/>
      <c r="G587" s="1488" t="s">
        <v>2700</v>
      </c>
      <c r="H587" s="4" t="str">
        <f>'BID II'!B1512</f>
        <v>Belanja Perlengkapan Barang Konsumsi</v>
      </c>
      <c r="I587" s="1"/>
      <c r="J587" s="1"/>
      <c r="K587" s="91">
        <f>SUM('BID II'!F1514:F1515)</f>
        <v>18900000</v>
      </c>
      <c r="L587" s="4" t="s">
        <v>2569</v>
      </c>
    </row>
    <row r="588" spans="1:13" ht="30" x14ac:dyDescent="0.25">
      <c r="A588" s="1"/>
      <c r="B588" s="1"/>
      <c r="C588" s="1"/>
      <c r="D588" s="1"/>
      <c r="E588" s="1"/>
      <c r="F588" s="1"/>
      <c r="G588" s="1488" t="s">
        <v>2703</v>
      </c>
      <c r="H588" s="4" t="str">
        <f>'BID II'!B1522</f>
        <v>Belanja Pakaian Seagam</v>
      </c>
      <c r="I588" s="1"/>
      <c r="J588" s="1"/>
      <c r="K588" s="91">
        <f>'BID II'!F1523</f>
        <v>2820000</v>
      </c>
      <c r="L588" s="4" t="s">
        <v>2569</v>
      </c>
    </row>
    <row r="589" spans="1:13" x14ac:dyDescent="0.25">
      <c r="A589" s="1"/>
      <c r="B589" s="1"/>
      <c r="C589" s="1"/>
      <c r="D589" s="1">
        <v>5</v>
      </c>
      <c r="E589" s="1">
        <v>2</v>
      </c>
      <c r="F589" s="1">
        <v>2</v>
      </c>
      <c r="G589" s="1"/>
      <c r="H589" s="4" t="str">
        <f>'BID II'!B1525</f>
        <v>Belanja Jasa Honorarium</v>
      </c>
      <c r="I589" s="1"/>
      <c r="J589" s="1"/>
      <c r="K589" s="91"/>
      <c r="L589" s="4"/>
    </row>
    <row r="590" spans="1:13" ht="30" x14ac:dyDescent="0.25">
      <c r="A590" s="1"/>
      <c r="B590" s="1"/>
      <c r="C590" s="1"/>
      <c r="D590" s="1"/>
      <c r="E590" s="1"/>
      <c r="F590" s="1"/>
      <c r="G590" s="1488" t="s">
        <v>2699</v>
      </c>
      <c r="H590" s="4" t="str">
        <f>'BID II'!B1526</f>
        <v>Belanja Jasa Honorarium Petugas</v>
      </c>
      <c r="I590" s="1"/>
      <c r="J590" s="1"/>
      <c r="K590" s="91">
        <f>'BID II'!F1527</f>
        <v>36000000</v>
      </c>
      <c r="L590" s="4" t="s">
        <v>2569</v>
      </c>
    </row>
    <row r="591" spans="1:13" ht="60" x14ac:dyDescent="0.25">
      <c r="A591" s="1027">
        <v>2</v>
      </c>
      <c r="B591" s="1027">
        <v>3</v>
      </c>
      <c r="C591" s="1491" t="s">
        <v>2696</v>
      </c>
      <c r="D591" s="1027"/>
      <c r="E591" s="1027"/>
      <c r="F591" s="1027"/>
      <c r="G591" s="1027"/>
      <c r="H591" s="1028" t="str">
        <f>'BID II'!B1543</f>
        <v>Pemeliharaan Jalan Lingkungan Permukiman Gang Sekar Sari Baru II (Pembersihan Site)</v>
      </c>
      <c r="I591" s="1027"/>
      <c r="J591" s="1027"/>
      <c r="K591" s="1492">
        <f>K594+K595</f>
        <v>5038800</v>
      </c>
      <c r="L591" s="1027"/>
      <c r="M591">
        <f>'BID II'!F1559</f>
        <v>5038800</v>
      </c>
    </row>
    <row r="592" spans="1:13" x14ac:dyDescent="0.25">
      <c r="A592" s="1"/>
      <c r="B592" s="1"/>
      <c r="C592" s="1"/>
      <c r="D592" s="1">
        <v>5</v>
      </c>
      <c r="E592" s="1">
        <v>3</v>
      </c>
      <c r="F592" s="1"/>
      <c r="G592" s="1"/>
      <c r="H592" s="1" t="str">
        <f>'BID II'!B1550</f>
        <v xml:space="preserve">Belanja Modal </v>
      </c>
      <c r="I592" s="1"/>
      <c r="J592" s="1"/>
      <c r="K592" s="91"/>
      <c r="L592" s="1"/>
    </row>
    <row r="593" spans="1:13" x14ac:dyDescent="0.25">
      <c r="A593" s="1"/>
      <c r="B593" s="1"/>
      <c r="C593" s="1"/>
      <c r="D593" s="1"/>
      <c r="E593" s="1"/>
      <c r="F593" s="1">
        <v>5</v>
      </c>
      <c r="G593" s="1"/>
      <c r="H593" s="1" t="str">
        <f>'BID II'!B1551</f>
        <v>Belanja Modal Jalan</v>
      </c>
      <c r="I593" s="1"/>
      <c r="J593" s="1"/>
      <c r="K593" s="91"/>
      <c r="L593" s="1"/>
    </row>
    <row r="594" spans="1:13" ht="30" x14ac:dyDescent="0.25">
      <c r="A594" s="1"/>
      <c r="B594" s="1"/>
      <c r="C594" s="1"/>
      <c r="D594" s="1"/>
      <c r="E594" s="1"/>
      <c r="F594" s="1"/>
      <c r="G594" s="1488" t="s">
        <v>2679</v>
      </c>
      <c r="H594" s="4" t="str">
        <f>'BID II'!B1552</f>
        <v>Honorarium Tim Yang Melaksanakan Kegiatan</v>
      </c>
      <c r="I594" s="1"/>
      <c r="J594" s="1"/>
      <c r="K594" s="91">
        <f>'BID II'!F1554</f>
        <v>98800</v>
      </c>
      <c r="L594" s="1" t="s">
        <v>1845</v>
      </c>
    </row>
    <row r="595" spans="1:13" x14ac:dyDescent="0.25">
      <c r="A595" s="1"/>
      <c r="B595" s="1"/>
      <c r="C595" s="1"/>
      <c r="D595" s="1"/>
      <c r="E595" s="1"/>
      <c r="F595" s="1"/>
      <c r="G595" s="1488" t="s">
        <v>2694</v>
      </c>
      <c r="H595" s="4" t="str">
        <f>'BID II'!B1555</f>
        <v>Belanja Upah</v>
      </c>
      <c r="I595" s="1"/>
      <c r="J595" s="1"/>
      <c r="K595" s="91">
        <f>'BID II'!F1557</f>
        <v>4940000</v>
      </c>
      <c r="L595" s="1" t="s">
        <v>1845</v>
      </c>
    </row>
    <row r="596" spans="1:13" ht="60" x14ac:dyDescent="0.25">
      <c r="A596" s="1027">
        <v>2</v>
      </c>
      <c r="B596" s="1027">
        <v>3</v>
      </c>
      <c r="C596" s="1491" t="s">
        <v>2696</v>
      </c>
      <c r="D596" s="1027"/>
      <c r="E596" s="1027"/>
      <c r="F596" s="1027"/>
      <c r="G596" s="1027"/>
      <c r="H596" s="1028" t="str">
        <f>'BID II'!B1573</f>
        <v>Pemeliharaan Jalan Lingkungan Permukiman Gang Sekar Sari Baru II (Pemavingan)</v>
      </c>
      <c r="I596" s="1027"/>
      <c r="J596" s="1027"/>
      <c r="K596" s="1492">
        <f>SUM(K597:K601)</f>
        <v>37970000</v>
      </c>
      <c r="L596" s="1027"/>
      <c r="M596" s="83">
        <f>'BID II'!F1598</f>
        <v>37970000</v>
      </c>
    </row>
    <row r="597" spans="1:13" x14ac:dyDescent="0.25">
      <c r="A597" s="1"/>
      <c r="B597" s="1"/>
      <c r="C597" s="1"/>
      <c r="D597" s="1">
        <v>5</v>
      </c>
      <c r="E597" s="1">
        <v>3</v>
      </c>
      <c r="F597" s="1"/>
      <c r="G597" s="1"/>
      <c r="H597" s="4" t="str">
        <f>'BID II'!B1580</f>
        <v xml:space="preserve">Belanja Modal </v>
      </c>
      <c r="I597" s="1"/>
      <c r="J597" s="1"/>
      <c r="K597" s="91"/>
      <c r="L597" s="1"/>
    </row>
    <row r="598" spans="1:13" x14ac:dyDescent="0.25">
      <c r="A598" s="1"/>
      <c r="B598" s="1"/>
      <c r="C598" s="1"/>
      <c r="D598" s="1"/>
      <c r="E598" s="1"/>
      <c r="F598" s="1">
        <v>5</v>
      </c>
      <c r="G598" s="1"/>
      <c r="H598" s="4" t="str">
        <f>'BID II'!B1581</f>
        <v>Belanja Modal Jalan</v>
      </c>
      <c r="I598" s="1"/>
      <c r="J598" s="1"/>
      <c r="K598" s="91"/>
      <c r="L598" s="1"/>
    </row>
    <row r="599" spans="1:13" ht="30" x14ac:dyDescent="0.25">
      <c r="A599" s="1"/>
      <c r="B599" s="1"/>
      <c r="C599" s="1"/>
      <c r="D599" s="1"/>
      <c r="E599" s="1"/>
      <c r="F599" s="1"/>
      <c r="G599" s="1488" t="s">
        <v>2679</v>
      </c>
      <c r="H599" s="4" t="str">
        <f>'BID II'!B1582</f>
        <v>Honorarium Tim Yang Melaksanakan Kegiatan</v>
      </c>
      <c r="I599" s="1"/>
      <c r="J599" s="1"/>
      <c r="K599" s="91">
        <f>'BID II'!F1585</f>
        <v>700000</v>
      </c>
      <c r="L599" s="1" t="s">
        <v>1845</v>
      </c>
    </row>
    <row r="600" spans="1:13" x14ac:dyDescent="0.25">
      <c r="A600" s="1"/>
      <c r="B600" s="1"/>
      <c r="C600" s="1"/>
      <c r="D600" s="1"/>
      <c r="E600" s="1"/>
      <c r="F600" s="1"/>
      <c r="G600" s="1488" t="s">
        <v>2694</v>
      </c>
      <c r="H600" s="4" t="str">
        <f>'BID II'!B1586</f>
        <v>Belanja Upah</v>
      </c>
      <c r="I600" s="1"/>
      <c r="J600" s="1"/>
      <c r="K600" s="91">
        <f>'BID II'!F1589</f>
        <v>6150000</v>
      </c>
      <c r="L600" s="1" t="s">
        <v>1845</v>
      </c>
    </row>
    <row r="601" spans="1:13" x14ac:dyDescent="0.25">
      <c r="A601" s="1"/>
      <c r="B601" s="1"/>
      <c r="C601" s="1"/>
      <c r="D601" s="1"/>
      <c r="E601" s="1"/>
      <c r="F601" s="1"/>
      <c r="G601" s="1488" t="s">
        <v>2696</v>
      </c>
      <c r="H601" s="4" t="str">
        <f>'BID II'!B1590</f>
        <v>Bahan Baku</v>
      </c>
      <c r="I601" s="1"/>
      <c r="J601" s="1"/>
      <c r="K601" s="91">
        <f>'BID II'!F1597</f>
        <v>31120000</v>
      </c>
      <c r="L601" s="1" t="s">
        <v>1845</v>
      </c>
    </row>
    <row r="602" spans="1:13" ht="60" x14ac:dyDescent="0.25">
      <c r="A602" s="1027">
        <v>2</v>
      </c>
      <c r="B602" s="1027">
        <v>3</v>
      </c>
      <c r="C602" s="1491" t="s">
        <v>2696</v>
      </c>
      <c r="D602" s="1027"/>
      <c r="E602" s="1027"/>
      <c r="F602" s="1027"/>
      <c r="G602" s="1027"/>
      <c r="H602" s="1028" t="str">
        <f>'BID II'!B1641</f>
        <v>Pemeliharaan Jalan Lingkungan Permukiman Gang Sekar Sari Baru II ( Rabat Pengunci Paving)</v>
      </c>
      <c r="I602" s="1027"/>
      <c r="J602" s="1027"/>
      <c r="K602" s="1492">
        <f>SUM(K603:K607)</f>
        <v>2620960</v>
      </c>
      <c r="L602" s="1492"/>
      <c r="M602" s="83">
        <f>'BID II'!F1663</f>
        <v>2620960</v>
      </c>
    </row>
    <row r="603" spans="1:13" x14ac:dyDescent="0.25">
      <c r="A603" s="1"/>
      <c r="B603" s="1"/>
      <c r="C603" s="1"/>
      <c r="D603" s="1">
        <v>5</v>
      </c>
      <c r="E603" s="1">
        <v>3</v>
      </c>
      <c r="F603" s="1"/>
      <c r="G603" s="1"/>
      <c r="H603" s="4" t="str">
        <f>'BID II'!B1648</f>
        <v xml:space="preserve">Belanja Modal </v>
      </c>
      <c r="I603" s="1"/>
      <c r="J603" s="1"/>
      <c r="K603" s="91"/>
      <c r="L603" s="1"/>
    </row>
    <row r="604" spans="1:13" x14ac:dyDescent="0.25">
      <c r="A604" s="1"/>
      <c r="B604" s="1"/>
      <c r="C604" s="1"/>
      <c r="D604" s="1"/>
      <c r="E604" s="1"/>
      <c r="F604" s="1">
        <v>5</v>
      </c>
      <c r="G604" s="1"/>
      <c r="H604" s="4" t="str">
        <f>'BID II'!B1649</f>
        <v>Belanja Modal Jalan</v>
      </c>
      <c r="I604" s="1"/>
      <c r="J604" s="1"/>
      <c r="K604" s="91"/>
      <c r="L604" s="1"/>
    </row>
    <row r="605" spans="1:13" ht="30" x14ac:dyDescent="0.25">
      <c r="A605" s="1"/>
      <c r="B605" s="1"/>
      <c r="C605" s="1"/>
      <c r="D605" s="1"/>
      <c r="E605" s="1"/>
      <c r="F605" s="1"/>
      <c r="G605" s="1488" t="s">
        <v>2679</v>
      </c>
      <c r="H605" s="4" t="str">
        <f>'BID II'!B1650</f>
        <v>Honorarium Tim Yang Melaksanakan Kegiatan</v>
      </c>
      <c r="I605" s="1"/>
      <c r="J605" s="1"/>
      <c r="K605" s="91">
        <f>'BID II'!F1652</f>
        <v>68960</v>
      </c>
      <c r="L605" s="1" t="s">
        <v>1845</v>
      </c>
    </row>
    <row r="606" spans="1:13" x14ac:dyDescent="0.25">
      <c r="A606" s="1"/>
      <c r="B606" s="1"/>
      <c r="C606" s="1"/>
      <c r="D606" s="1"/>
      <c r="E606" s="1"/>
      <c r="F606" s="1"/>
      <c r="G606" s="1488" t="s">
        <v>2694</v>
      </c>
      <c r="H606" s="4" t="str">
        <f>'BID II'!B1653</f>
        <v>Belanja Upah</v>
      </c>
      <c r="I606" s="1"/>
      <c r="J606" s="1"/>
      <c r="K606" s="91">
        <f>'BID II'!F1656</f>
        <v>410000</v>
      </c>
      <c r="L606" s="1" t="s">
        <v>1845</v>
      </c>
    </row>
    <row r="607" spans="1:13" x14ac:dyDescent="0.25">
      <c r="A607" s="1"/>
      <c r="B607" s="1"/>
      <c r="C607" s="1"/>
      <c r="D607" s="1"/>
      <c r="E607" s="1"/>
      <c r="F607" s="1"/>
      <c r="G607" s="1488" t="s">
        <v>2696</v>
      </c>
      <c r="H607" s="4" t="str">
        <f>'BID II'!B1657</f>
        <v>Bahan Baku</v>
      </c>
      <c r="I607" s="1"/>
      <c r="J607" s="1"/>
      <c r="K607" s="91">
        <f>'BID II'!F1662</f>
        <v>2142000</v>
      </c>
      <c r="L607" s="1" t="s">
        <v>1845</v>
      </c>
    </row>
    <row r="608" spans="1:13" ht="60" x14ac:dyDescent="0.25">
      <c r="A608" s="1027">
        <v>2</v>
      </c>
      <c r="B608" s="1027">
        <v>3</v>
      </c>
      <c r="C608" s="1491" t="s">
        <v>2696</v>
      </c>
      <c r="D608" s="1027"/>
      <c r="E608" s="1027"/>
      <c r="F608" s="1027"/>
      <c r="G608" s="1027"/>
      <c r="H608" s="1028" t="str">
        <f>'BID II'!B1676</f>
        <v>Pemeliharaan Jalan Lingkungan Permukiman /Gang Belakang SD (Pembersihan Site)</v>
      </c>
      <c r="I608" s="1027"/>
      <c r="J608" s="1027"/>
      <c r="K608" s="1492">
        <f>SUM(K609:K612)</f>
        <v>9547200</v>
      </c>
      <c r="L608" s="1492"/>
      <c r="M608" s="83">
        <f>'BID II'!F1692</f>
        <v>9547200</v>
      </c>
    </row>
    <row r="609" spans="1:13" x14ac:dyDescent="0.25">
      <c r="A609" s="1"/>
      <c r="B609" s="1"/>
      <c r="C609" s="1"/>
      <c r="D609" s="1">
        <v>5</v>
      </c>
      <c r="E609" s="1">
        <v>2</v>
      </c>
      <c r="F609" s="1"/>
      <c r="G609" s="1"/>
      <c r="H609" s="4" t="str">
        <f>'BID II'!B1683</f>
        <v xml:space="preserve">Belanja Modal </v>
      </c>
      <c r="I609" s="1"/>
      <c r="J609" s="1"/>
      <c r="K609" s="91"/>
      <c r="L609" s="1"/>
    </row>
    <row r="610" spans="1:13" x14ac:dyDescent="0.25">
      <c r="A610" s="1"/>
      <c r="B610" s="1"/>
      <c r="C610" s="1"/>
      <c r="D610" s="1"/>
      <c r="E610" s="1"/>
      <c r="F610" s="1">
        <v>5</v>
      </c>
      <c r="G610" s="1"/>
      <c r="H610" s="4" t="str">
        <f>'BID II'!B1684</f>
        <v>Belanja Modal Jalan</v>
      </c>
      <c r="I610" s="1"/>
      <c r="J610" s="1"/>
      <c r="K610" s="91"/>
      <c r="L610" s="1"/>
    </row>
    <row r="611" spans="1:13" ht="30" x14ac:dyDescent="0.25">
      <c r="A611" s="1"/>
      <c r="B611" s="1"/>
      <c r="C611" s="1"/>
      <c r="D611" s="1"/>
      <c r="E611" s="1"/>
      <c r="F611" s="1"/>
      <c r="G611" s="1488" t="s">
        <v>2679</v>
      </c>
      <c r="H611" s="4" t="str">
        <f>'BID II'!B1685</f>
        <v>Honorarium Tim Yang Melaksanakan Kegiatan</v>
      </c>
      <c r="I611" s="1"/>
      <c r="J611" s="1"/>
      <c r="K611" s="91">
        <f>'BID II'!F1687</f>
        <v>187200</v>
      </c>
      <c r="L611" s="1" t="s">
        <v>1845</v>
      </c>
    </row>
    <row r="612" spans="1:13" x14ac:dyDescent="0.25">
      <c r="A612" s="1"/>
      <c r="B612" s="1"/>
      <c r="C612" s="1"/>
      <c r="D612" s="1"/>
      <c r="E612" s="1"/>
      <c r="F612" s="1"/>
      <c r="G612" s="1488" t="s">
        <v>2694</v>
      </c>
      <c r="H612" s="1" t="str">
        <f>'BID II'!B1688</f>
        <v>Belanja Upah</v>
      </c>
      <c r="I612" s="1"/>
      <c r="J612" s="1"/>
      <c r="K612" s="91">
        <f>'BID II'!F1690</f>
        <v>9360000</v>
      </c>
      <c r="L612" s="1" t="s">
        <v>1845</v>
      </c>
    </row>
    <row r="613" spans="1:13" ht="60" x14ac:dyDescent="0.25">
      <c r="A613" s="1027">
        <v>2</v>
      </c>
      <c r="B613" s="1027">
        <v>3</v>
      </c>
      <c r="C613" s="1491" t="s">
        <v>2696</v>
      </c>
      <c r="D613" s="1027"/>
      <c r="E613" s="1027"/>
      <c r="F613" s="1027"/>
      <c r="G613" s="1027"/>
      <c r="H613" s="1028" t="str">
        <f>'BID II'!B1708</f>
        <v>Pemeliharaan Jalan Lingkungan Permukiman /Gang Belakang SD (Pemavingan)</v>
      </c>
      <c r="I613" s="1027"/>
      <c r="J613" s="1027"/>
      <c r="K613" s="1492">
        <f>SUM(K614:K618)</f>
        <v>66939000</v>
      </c>
      <c r="L613" s="1027"/>
      <c r="M613">
        <f>'BID II'!F1732</f>
        <v>66939000</v>
      </c>
    </row>
    <row r="614" spans="1:13" x14ac:dyDescent="0.25">
      <c r="A614" s="1"/>
      <c r="B614" s="1"/>
      <c r="C614" s="1"/>
      <c r="D614" s="1">
        <v>5</v>
      </c>
      <c r="E614" s="1">
        <v>3</v>
      </c>
      <c r="F614" s="1"/>
      <c r="G614" s="1"/>
      <c r="H614" s="4" t="str">
        <f>'BID II'!B1715</f>
        <v xml:space="preserve">Belanja Modal </v>
      </c>
      <c r="I614" s="1"/>
      <c r="J614" s="1"/>
      <c r="K614" s="91"/>
      <c r="L614" s="1"/>
    </row>
    <row r="615" spans="1:13" x14ac:dyDescent="0.25">
      <c r="A615" s="1"/>
      <c r="B615" s="1"/>
      <c r="C615" s="1"/>
      <c r="D615" s="1"/>
      <c r="E615" s="1"/>
      <c r="F615" s="1">
        <v>5</v>
      </c>
      <c r="G615" s="1"/>
      <c r="H615" s="4" t="str">
        <f>'BID II'!B1716</f>
        <v>Belanja Modal Jalan</v>
      </c>
      <c r="I615" s="1"/>
      <c r="J615" s="1"/>
      <c r="K615" s="91"/>
      <c r="L615" s="1"/>
    </row>
    <row r="616" spans="1:13" ht="30" x14ac:dyDescent="0.25">
      <c r="A616" s="1"/>
      <c r="B616" s="1"/>
      <c r="C616" s="1"/>
      <c r="D616" s="1"/>
      <c r="E616" s="1"/>
      <c r="F616" s="1"/>
      <c r="G616" s="1488" t="s">
        <v>2679</v>
      </c>
      <c r="H616" s="4" t="str">
        <f>'BID II'!B1717</f>
        <v>Honorarium Tim Yang Melaksanakan Kegiatan</v>
      </c>
      <c r="I616" s="1"/>
      <c r="J616" s="1"/>
      <c r="K616" s="91">
        <f>'BID II'!F1719</f>
        <v>931000</v>
      </c>
      <c r="L616" s="1" t="s">
        <v>1845</v>
      </c>
    </row>
    <row r="617" spans="1:13" x14ac:dyDescent="0.25">
      <c r="A617" s="1"/>
      <c r="B617" s="1"/>
      <c r="C617" s="1"/>
      <c r="D617" s="1"/>
      <c r="E617" s="1"/>
      <c r="F617" s="1"/>
      <c r="G617" s="1488" t="s">
        <v>2694</v>
      </c>
      <c r="H617" s="1" t="str">
        <f>'BID II'!B1720</f>
        <v>Belanja Upah</v>
      </c>
      <c r="I617" s="1"/>
      <c r="J617" s="1"/>
      <c r="K617" s="91">
        <f>'BID II'!F1723</f>
        <v>10660000</v>
      </c>
      <c r="L617" s="1" t="s">
        <v>1845</v>
      </c>
    </row>
    <row r="618" spans="1:13" x14ac:dyDescent="0.25">
      <c r="A618" s="1"/>
      <c r="B618" s="1"/>
      <c r="C618" s="1"/>
      <c r="D618" s="1"/>
      <c r="E618" s="1"/>
      <c r="F618" s="1"/>
      <c r="G618" s="1488" t="s">
        <v>2696</v>
      </c>
      <c r="H618" s="1" t="str">
        <f>'BID II'!B1724</f>
        <v>Bahan Baku</v>
      </c>
      <c r="I618" s="1"/>
      <c r="J618" s="1"/>
      <c r="K618" s="91">
        <f>'BID II'!F1731</f>
        <v>55348000</v>
      </c>
      <c r="L618" s="1" t="s">
        <v>1845</v>
      </c>
    </row>
    <row r="619" spans="1:13" ht="60" x14ac:dyDescent="0.25">
      <c r="A619" s="1498">
        <v>2</v>
      </c>
      <c r="B619" s="1498">
        <v>3</v>
      </c>
      <c r="C619" s="1498">
        <v>12</v>
      </c>
      <c r="D619" s="1498"/>
      <c r="E619" s="1498"/>
      <c r="F619" s="1498"/>
      <c r="G619" s="1498"/>
      <c r="H619" s="1494" t="str">
        <f>'BID II'!B1745</f>
        <v>: Pembangunan Jalan Usaha Tani (Subak Temaga Munduk Pengiu PONDASI Batu Kali)</v>
      </c>
      <c r="I619" s="1492"/>
      <c r="J619" s="1492"/>
      <c r="K619" s="1492">
        <f>SUM(K620:K624)</f>
        <v>254201840</v>
      </c>
      <c r="L619" s="1492"/>
      <c r="M619" s="83">
        <f>'BID II'!F1770</f>
        <v>254201840</v>
      </c>
    </row>
    <row r="620" spans="1:13" x14ac:dyDescent="0.25">
      <c r="A620" s="1"/>
      <c r="B620" s="1"/>
      <c r="C620" s="1"/>
      <c r="D620" s="1">
        <v>5</v>
      </c>
      <c r="E620" s="1">
        <v>3</v>
      </c>
      <c r="F620" s="1"/>
      <c r="G620" s="1"/>
      <c r="H620" s="4" t="str">
        <f>'BID II'!B1752</f>
        <v xml:space="preserve">Belanja Modal </v>
      </c>
      <c r="I620" s="1"/>
      <c r="J620" s="1"/>
      <c r="K620" s="91"/>
      <c r="L620" s="1"/>
    </row>
    <row r="621" spans="1:13" x14ac:dyDescent="0.25">
      <c r="A621" s="1"/>
      <c r="B621" s="1"/>
      <c r="C621" s="1"/>
      <c r="D621" s="1"/>
      <c r="E621" s="1"/>
      <c r="F621" s="1">
        <v>5</v>
      </c>
      <c r="G621" s="1"/>
      <c r="H621" s="4" t="str">
        <f>'BID II'!B1753</f>
        <v>Belanja Modal Jalan</v>
      </c>
      <c r="I621" s="1"/>
      <c r="J621" s="1"/>
      <c r="K621" s="91"/>
      <c r="L621" s="1"/>
    </row>
    <row r="622" spans="1:13" ht="30" x14ac:dyDescent="0.25">
      <c r="A622" s="1"/>
      <c r="B622" s="1"/>
      <c r="C622" s="1"/>
      <c r="D622" s="1"/>
      <c r="E622" s="1"/>
      <c r="F622" s="1"/>
      <c r="G622" s="1488" t="s">
        <v>2679</v>
      </c>
      <c r="H622" s="4" t="str">
        <f>'BID II'!B1754</f>
        <v>Honorarium Tim Yang Melaksanakan Kegiatan</v>
      </c>
      <c r="I622" s="1"/>
      <c r="J622" s="1"/>
      <c r="K622" s="91">
        <f>'BID II'!F1756</f>
        <v>4743840</v>
      </c>
      <c r="L622" s="1" t="s">
        <v>1409</v>
      </c>
    </row>
    <row r="623" spans="1:13" x14ac:dyDescent="0.25">
      <c r="A623" s="1"/>
      <c r="B623" s="1"/>
      <c r="C623" s="1"/>
      <c r="D623" s="1"/>
      <c r="E623" s="1"/>
      <c r="F623" s="1"/>
      <c r="G623" s="1488" t="s">
        <v>2694</v>
      </c>
      <c r="H623" s="1" t="str">
        <f>'BID II'!B1757</f>
        <v>Belanja Upah</v>
      </c>
      <c r="I623" s="1"/>
      <c r="J623" s="1"/>
      <c r="K623" s="91">
        <f>'BID II'!F1761</f>
        <v>96490000</v>
      </c>
      <c r="L623" s="1" t="s">
        <v>1409</v>
      </c>
    </row>
    <row r="624" spans="1:13" x14ac:dyDescent="0.25">
      <c r="A624" s="1"/>
      <c r="B624" s="1"/>
      <c r="C624" s="1"/>
      <c r="D624" s="1"/>
      <c r="E624" s="1"/>
      <c r="F624" s="1"/>
      <c r="G624" s="1488" t="s">
        <v>2696</v>
      </c>
      <c r="H624" s="1" t="str">
        <f>'BID II'!B1762</f>
        <v>Bahan Baku</v>
      </c>
      <c r="I624" s="1"/>
      <c r="J624" s="1"/>
      <c r="K624" s="91">
        <f>'BID II'!F1769</f>
        <v>152968000</v>
      </c>
      <c r="L624" s="1" t="s">
        <v>1409</v>
      </c>
    </row>
    <row r="625" spans="1:13" ht="60" x14ac:dyDescent="0.25">
      <c r="A625" s="1027">
        <v>2</v>
      </c>
      <c r="B625" s="1027">
        <v>3</v>
      </c>
      <c r="C625" s="1027">
        <v>12</v>
      </c>
      <c r="D625" s="1027"/>
      <c r="E625" s="1027"/>
      <c r="F625" s="1027"/>
      <c r="G625" s="1027"/>
      <c r="H625" s="1028" t="str">
        <f>'BID II'!B1785</f>
        <v>: Pembangunan Jalan Usaha Tani (Subak Temaga Munduk Pengiu GALIAN)</v>
      </c>
      <c r="I625" s="1027"/>
      <c r="J625" s="1027"/>
      <c r="K625" s="1492">
        <f>SUM(K626:K629)</f>
        <v>10210200</v>
      </c>
      <c r="L625" s="1027" t="s">
        <v>1409</v>
      </c>
      <c r="M625">
        <f>'BID II'!F1801</f>
        <v>10210200</v>
      </c>
    </row>
    <row r="626" spans="1:13" x14ac:dyDescent="0.25">
      <c r="A626" s="1"/>
      <c r="B626" s="1"/>
      <c r="C626" s="1"/>
      <c r="D626" s="1">
        <v>5</v>
      </c>
      <c r="E626" s="1">
        <v>3</v>
      </c>
      <c r="F626" s="1"/>
      <c r="G626" s="1"/>
      <c r="H626" s="4" t="str">
        <f>'BID II'!B1792</f>
        <v xml:space="preserve">Belanja Modal </v>
      </c>
      <c r="I626" s="1"/>
      <c r="J626" s="1"/>
      <c r="K626" s="91"/>
      <c r="L626" s="1"/>
    </row>
    <row r="627" spans="1:13" x14ac:dyDescent="0.25">
      <c r="A627" s="1"/>
      <c r="B627" s="1"/>
      <c r="C627" s="1"/>
      <c r="D627" s="1"/>
      <c r="E627" s="1"/>
      <c r="F627" s="1">
        <v>5</v>
      </c>
      <c r="G627" s="1"/>
      <c r="H627" s="4" t="str">
        <f>'BID II'!B1793</f>
        <v>Belanja Modal Jalan</v>
      </c>
      <c r="I627" s="1"/>
      <c r="J627" s="1"/>
      <c r="K627" s="91"/>
      <c r="L627" s="1"/>
    </row>
    <row r="628" spans="1:13" ht="30" x14ac:dyDescent="0.25">
      <c r="A628" s="1"/>
      <c r="B628" s="1"/>
      <c r="C628" s="1"/>
      <c r="D628" s="1"/>
      <c r="E628" s="1"/>
      <c r="F628" s="1"/>
      <c r="G628" s="1488" t="s">
        <v>2679</v>
      </c>
      <c r="H628" s="4" t="str">
        <f>'BID II'!B1794</f>
        <v>Honorarium Tim Yang Melaksanakan Kegiatan</v>
      </c>
      <c r="I628" s="1"/>
      <c r="J628" s="1"/>
      <c r="K628" s="91">
        <f>'BID II'!F1796</f>
        <v>200200</v>
      </c>
      <c r="L628" s="1" t="s">
        <v>1409</v>
      </c>
    </row>
    <row r="629" spans="1:13" x14ac:dyDescent="0.25">
      <c r="A629" s="1"/>
      <c r="B629" s="1"/>
      <c r="C629" s="1"/>
      <c r="D629" s="1"/>
      <c r="E629" s="1"/>
      <c r="F629" s="1"/>
      <c r="G629" s="1488" t="s">
        <v>2694</v>
      </c>
      <c r="H629" s="4" t="str">
        <f>'BID II'!B1797</f>
        <v>Belanja Upah</v>
      </c>
      <c r="I629" s="1"/>
      <c r="J629" s="1"/>
      <c r="K629" s="91">
        <f>'BID II'!F1798</f>
        <v>10010000</v>
      </c>
      <c r="L629" s="1" t="s">
        <v>1409</v>
      </c>
    </row>
    <row r="630" spans="1:13" ht="60" x14ac:dyDescent="0.25">
      <c r="A630" s="1027">
        <v>2</v>
      </c>
      <c r="B630" s="1027">
        <v>3</v>
      </c>
      <c r="C630" s="1027">
        <v>12</v>
      </c>
      <c r="D630" s="1027"/>
      <c r="E630" s="1027"/>
      <c r="F630" s="1027"/>
      <c r="G630" s="1027"/>
      <c r="H630" s="1028" t="str">
        <f>'BID II'!B1816</f>
        <v>: Pembangunan Jalan Usaha Tani (Subak Temaga Munduk Pengiu URUGAN LIMESTONE)</v>
      </c>
      <c r="I630" s="1027"/>
      <c r="J630" s="1027"/>
      <c r="K630" s="1492">
        <f>SUM(K631:K636)</f>
        <v>101319040</v>
      </c>
      <c r="L630" s="1027"/>
      <c r="M630" s="83">
        <f>'BID II'!F1841</f>
        <v>101319040</v>
      </c>
    </row>
    <row r="631" spans="1:13" x14ac:dyDescent="0.25">
      <c r="A631" s="1"/>
      <c r="B631" s="1"/>
      <c r="C631" s="1"/>
      <c r="D631" s="1">
        <v>5</v>
      </c>
      <c r="E631" s="1">
        <v>3</v>
      </c>
      <c r="F631" s="1"/>
      <c r="G631" s="1"/>
      <c r="H631" s="4" t="str">
        <f>'BID II'!B1823</f>
        <v xml:space="preserve">Belanja Modal </v>
      </c>
      <c r="I631" s="1"/>
      <c r="J631" s="1"/>
      <c r="K631" s="91"/>
      <c r="L631" s="1"/>
    </row>
    <row r="632" spans="1:13" x14ac:dyDescent="0.25">
      <c r="A632" s="1"/>
      <c r="B632" s="1"/>
      <c r="C632" s="1"/>
      <c r="D632" s="1"/>
      <c r="E632" s="1"/>
      <c r="F632" s="1">
        <v>5</v>
      </c>
      <c r="G632" s="1"/>
      <c r="H632" s="4" t="str">
        <f>'BID II'!B1824</f>
        <v>Belanja Modal Jalan</v>
      </c>
      <c r="I632" s="1"/>
      <c r="J632" s="1"/>
      <c r="K632" s="91"/>
      <c r="L632" s="1"/>
    </row>
    <row r="633" spans="1:13" ht="30" x14ac:dyDescent="0.25">
      <c r="A633" s="1"/>
      <c r="B633" s="1"/>
      <c r="C633" s="1"/>
      <c r="D633" s="1"/>
      <c r="E633" s="1"/>
      <c r="F633" s="1"/>
      <c r="G633" s="1488" t="s">
        <v>2679</v>
      </c>
      <c r="H633" s="4" t="str">
        <f>'BID II'!B1825</f>
        <v>Honorarium Tim Yang Melaksanakan Kegiatan</v>
      </c>
      <c r="I633" s="1"/>
      <c r="J633" s="1"/>
      <c r="K633" s="91">
        <f>'BID II'!F1827</f>
        <v>3409040</v>
      </c>
      <c r="L633" s="1" t="s">
        <v>1409</v>
      </c>
    </row>
    <row r="634" spans="1:13" x14ac:dyDescent="0.25">
      <c r="A634" s="1"/>
      <c r="B634" s="1"/>
      <c r="C634" s="1"/>
      <c r="D634" s="1"/>
      <c r="E634" s="1"/>
      <c r="F634" s="1"/>
      <c r="G634" s="1488" t="s">
        <v>2694</v>
      </c>
      <c r="H634" s="4" t="str">
        <f>'BID II'!B1828</f>
        <v>Belanja Upah</v>
      </c>
      <c r="I634" s="1"/>
      <c r="J634" s="1"/>
      <c r="K634" s="91">
        <f>'BID II'!F1831</f>
        <v>54210000</v>
      </c>
      <c r="L634" s="1" t="s">
        <v>1409</v>
      </c>
    </row>
    <row r="635" spans="1:13" x14ac:dyDescent="0.25">
      <c r="A635" s="1"/>
      <c r="B635" s="1"/>
      <c r="C635" s="1"/>
      <c r="D635" s="1"/>
      <c r="E635" s="1"/>
      <c r="F635" s="1"/>
      <c r="G635" s="1488" t="s">
        <v>2696</v>
      </c>
      <c r="H635" s="4" t="str">
        <f>'BID II'!B1833</f>
        <v>Bahan Baku</v>
      </c>
      <c r="I635" s="1"/>
      <c r="J635" s="1"/>
      <c r="K635" s="91">
        <f>'BID II'!F1835</f>
        <v>41500000</v>
      </c>
      <c r="L635" s="1" t="s">
        <v>1409</v>
      </c>
    </row>
    <row r="636" spans="1:13" x14ac:dyDescent="0.25">
      <c r="A636" s="1"/>
      <c r="B636" s="1"/>
      <c r="C636" s="1"/>
      <c r="D636" s="1"/>
      <c r="E636" s="1"/>
      <c r="F636" s="1"/>
      <c r="G636" s="1488" t="s">
        <v>2697</v>
      </c>
      <c r="H636" s="4" t="str">
        <f>'BID II'!B1837</f>
        <v>Peralatan Sewa</v>
      </c>
      <c r="I636" s="1"/>
      <c r="J636" s="1"/>
      <c r="K636" s="91">
        <f>'BID II'!F1839</f>
        <v>2200000</v>
      </c>
      <c r="L636" s="1" t="s">
        <v>1409</v>
      </c>
    </row>
    <row r="637" spans="1:13" ht="60" x14ac:dyDescent="0.25">
      <c r="A637" s="1027">
        <v>2</v>
      </c>
      <c r="B637" s="1027">
        <v>3</v>
      </c>
      <c r="C637" s="1027">
        <v>12</v>
      </c>
      <c r="D637" s="1027"/>
      <c r="E637" s="1027"/>
      <c r="F637" s="1027"/>
      <c r="G637" s="1027"/>
      <c r="H637" s="1028" t="str">
        <f>'BID II'!B1856</f>
        <v>: Pembangunan Jalan Usaha Tani (Subak Temaga Munduk Pengiu PEMBETONAN)</v>
      </c>
      <c r="I637" s="1027"/>
      <c r="J637" s="1027"/>
      <c r="K637" s="1492">
        <f>SUM(K638:K642)</f>
        <v>142162360</v>
      </c>
      <c r="L637" s="1492"/>
      <c r="M637" s="83">
        <f>'BID II'!F1879</f>
        <v>142162360</v>
      </c>
    </row>
    <row r="638" spans="1:13" x14ac:dyDescent="0.25">
      <c r="A638" s="1"/>
      <c r="B638" s="1"/>
      <c r="C638" s="1"/>
      <c r="D638" s="1">
        <v>5</v>
      </c>
      <c r="E638" s="1">
        <v>3</v>
      </c>
      <c r="F638" s="1"/>
      <c r="G638" s="1"/>
      <c r="H638" s="4" t="str">
        <f>'BID II'!B1863</f>
        <v xml:space="preserve">Belanja Modal </v>
      </c>
      <c r="I638" s="1"/>
      <c r="J638" s="1"/>
      <c r="K638" s="91"/>
      <c r="L638" s="1"/>
    </row>
    <row r="639" spans="1:13" x14ac:dyDescent="0.25">
      <c r="A639" s="1"/>
      <c r="B639" s="1"/>
      <c r="C639" s="1"/>
      <c r="D639" s="1"/>
      <c r="E639" s="1"/>
      <c r="F639" s="1">
        <v>5</v>
      </c>
      <c r="G639" s="1"/>
      <c r="H639" s="4" t="str">
        <f>'BID II'!B1864</f>
        <v>Belanja Modal Jalan</v>
      </c>
      <c r="I639" s="1"/>
      <c r="J639" s="1"/>
      <c r="K639" s="91"/>
      <c r="L639" s="1"/>
    </row>
    <row r="640" spans="1:13" ht="30" x14ac:dyDescent="0.25">
      <c r="A640" s="1"/>
      <c r="B640" s="1"/>
      <c r="C640" s="1"/>
      <c r="D640" s="1"/>
      <c r="E640" s="1"/>
      <c r="F640" s="1"/>
      <c r="G640" s="1488" t="s">
        <v>2679</v>
      </c>
      <c r="H640" s="4" t="str">
        <f>'BID II'!B1865</f>
        <v>Honorarium Tim Yang Melaksanakan Kegiatan</v>
      </c>
      <c r="I640" s="1"/>
      <c r="J640" s="1"/>
      <c r="K640" s="91">
        <f>'BID II'!F1867</f>
        <v>3563360</v>
      </c>
      <c r="L640" s="1" t="s">
        <v>1409</v>
      </c>
    </row>
    <row r="641" spans="1:13" x14ac:dyDescent="0.25">
      <c r="A641" s="1"/>
      <c r="B641" s="1"/>
      <c r="C641" s="1"/>
      <c r="D641" s="1"/>
      <c r="E641" s="1"/>
      <c r="F641" s="1"/>
      <c r="G641" s="1488" t="s">
        <v>2694</v>
      </c>
      <c r="H641" s="1" t="str">
        <f>'BID II'!B1868</f>
        <v>Belanja Upah</v>
      </c>
      <c r="I641" s="1"/>
      <c r="J641" s="1"/>
      <c r="K641" s="91">
        <f>'BID II'!F1872</f>
        <v>40930000</v>
      </c>
      <c r="L641" s="1" t="s">
        <v>1409</v>
      </c>
    </row>
    <row r="642" spans="1:13" x14ac:dyDescent="0.25">
      <c r="A642" s="1"/>
      <c r="B642" s="1"/>
      <c r="C642" s="1"/>
      <c r="D642" s="1"/>
      <c r="E642" s="1"/>
      <c r="F642" s="1"/>
      <c r="G642" s="1488" t="s">
        <v>2696</v>
      </c>
      <c r="H642" s="1" t="str">
        <f>'BID II'!B1873</f>
        <v>Bahan Baku</v>
      </c>
      <c r="I642" s="1"/>
      <c r="J642" s="1"/>
      <c r="K642" s="91">
        <f>'BID II'!F1878</f>
        <v>97669000</v>
      </c>
      <c r="L642" s="1" t="s">
        <v>1409</v>
      </c>
    </row>
    <row r="643" spans="1:13" ht="60" x14ac:dyDescent="0.25">
      <c r="A643" s="1027">
        <v>2</v>
      </c>
      <c r="B643" s="1027">
        <v>3</v>
      </c>
      <c r="C643" s="1027">
        <v>12</v>
      </c>
      <c r="D643" s="1027"/>
      <c r="E643" s="1027"/>
      <c r="F643" s="1027"/>
      <c r="G643" s="1027"/>
      <c r="H643" s="1028" t="str">
        <f>'BID II'!B1894</f>
        <v>: Pembangunan Jalan Usaha Tani (Subak Temaga Munduk Pengiu BEKISTING)</v>
      </c>
      <c r="I643" s="1027"/>
      <c r="J643" s="1027"/>
      <c r="K643" s="1492">
        <f>SUM(K646:K648)</f>
        <v>70948500</v>
      </c>
      <c r="L643" s="1027"/>
      <c r="M643" s="83">
        <f>'BID II'!F1917</f>
        <v>70948500</v>
      </c>
    </row>
    <row r="644" spans="1:13" x14ac:dyDescent="0.25">
      <c r="A644" s="1"/>
      <c r="B644" s="1"/>
      <c r="C644" s="1"/>
      <c r="D644" s="1">
        <v>5</v>
      </c>
      <c r="E644" s="1">
        <v>3</v>
      </c>
      <c r="F644" s="1"/>
      <c r="G644" s="1"/>
      <c r="H644" s="1" t="str">
        <f>'BID II'!B1901</f>
        <v xml:space="preserve">Belanja Modal </v>
      </c>
      <c r="I644" s="1"/>
      <c r="J644" s="1"/>
      <c r="K644" s="91"/>
      <c r="L644" s="1"/>
    </row>
    <row r="645" spans="1:13" x14ac:dyDescent="0.25">
      <c r="A645" s="1"/>
      <c r="B645" s="1"/>
      <c r="C645" s="1"/>
      <c r="D645" s="1"/>
      <c r="E645" s="1"/>
      <c r="F645" s="1">
        <v>5</v>
      </c>
      <c r="G645" s="1"/>
      <c r="H645" s="1" t="str">
        <f>'BID II'!B1902</f>
        <v>Belanja Modal Jalan</v>
      </c>
      <c r="I645" s="1"/>
      <c r="J645" s="1"/>
      <c r="K645" s="91"/>
      <c r="L645" s="1"/>
    </row>
    <row r="646" spans="1:13" ht="30" x14ac:dyDescent="0.25">
      <c r="A646" s="1"/>
      <c r="B646" s="1"/>
      <c r="C646" s="1"/>
      <c r="D646" s="1"/>
      <c r="E646" s="1"/>
      <c r="F646" s="1"/>
      <c r="G646" s="1488" t="s">
        <v>2679</v>
      </c>
      <c r="H646" s="4" t="str">
        <f>'BID II'!B1903</f>
        <v>Honorarium Tim Yang Melaksanakan Kegiatan</v>
      </c>
      <c r="I646" s="1"/>
      <c r="J646" s="1"/>
      <c r="K646" s="91">
        <f>'BID II'!F1905</f>
        <v>1350000</v>
      </c>
      <c r="L646" s="1" t="s">
        <v>1409</v>
      </c>
    </row>
    <row r="647" spans="1:13" x14ac:dyDescent="0.25">
      <c r="A647" s="1"/>
      <c r="B647" s="1"/>
      <c r="C647" s="1"/>
      <c r="D647" s="1"/>
      <c r="E647" s="1"/>
      <c r="F647" s="1"/>
      <c r="G647" s="1488" t="s">
        <v>2694</v>
      </c>
      <c r="H647" s="4" t="str">
        <f>'BID II'!B1906</f>
        <v>Belanja Upah</v>
      </c>
      <c r="I647" s="1"/>
      <c r="J647" s="1"/>
      <c r="K647" s="91">
        <f>'BID II'!F1910</f>
        <v>12300000</v>
      </c>
      <c r="L647" s="1" t="s">
        <v>1409</v>
      </c>
    </row>
    <row r="648" spans="1:13" x14ac:dyDescent="0.25">
      <c r="A648" s="1"/>
      <c r="B648" s="1"/>
      <c r="C648" s="1"/>
      <c r="D648" s="1"/>
      <c r="E648" s="1"/>
      <c r="F648" s="1"/>
      <c r="G648" s="1488" t="s">
        <v>2696</v>
      </c>
      <c r="H648" s="4" t="str">
        <f>'BID II'!B1911</f>
        <v>Bahan Baku</v>
      </c>
      <c r="I648" s="1"/>
      <c r="J648" s="1"/>
      <c r="K648" s="91">
        <f>'BID II'!F1916</f>
        <v>57298500</v>
      </c>
      <c r="L648" s="1" t="s">
        <v>1409</v>
      </c>
    </row>
    <row r="649" spans="1:13" ht="60" x14ac:dyDescent="0.25">
      <c r="A649" s="1027">
        <v>2</v>
      </c>
      <c r="B649" s="1027">
        <v>3</v>
      </c>
      <c r="C649" s="1027">
        <v>12</v>
      </c>
      <c r="D649" s="1027"/>
      <c r="E649" s="1027"/>
      <c r="F649" s="1027"/>
      <c r="G649" s="1027"/>
      <c r="H649" s="1028" t="str">
        <f>'BID II'!B1932</f>
        <v>: Pembangunan Jalan Usaha Tani (Subak Temaga Munduk Pengiu PEMBESIAN)</v>
      </c>
      <c r="I649" s="1027"/>
      <c r="J649" s="1027"/>
      <c r="K649" s="1492">
        <f>SUM(K650:K654)</f>
        <v>102831000</v>
      </c>
      <c r="L649" s="1492"/>
      <c r="M649" s="83">
        <f>'BID II'!F1953</f>
        <v>102831000</v>
      </c>
    </row>
    <row r="650" spans="1:13" x14ac:dyDescent="0.25">
      <c r="A650" s="1"/>
      <c r="B650" s="1"/>
      <c r="C650" s="1"/>
      <c r="D650" s="1">
        <v>5</v>
      </c>
      <c r="E650" s="1">
        <v>3</v>
      </c>
      <c r="F650" s="1"/>
      <c r="G650" s="1"/>
      <c r="H650" s="4" t="str">
        <f>'BID II'!B1939</f>
        <v xml:space="preserve">Belanja Modal </v>
      </c>
      <c r="I650" s="1"/>
      <c r="J650" s="1"/>
      <c r="K650" s="91"/>
      <c r="L650" s="91"/>
      <c r="M650" s="83"/>
    </row>
    <row r="651" spans="1:13" x14ac:dyDescent="0.25">
      <c r="A651" s="1"/>
      <c r="B651" s="1"/>
      <c r="C651" s="1"/>
      <c r="D651" s="1"/>
      <c r="E651" s="1"/>
      <c r="F651" s="1">
        <v>5</v>
      </c>
      <c r="G651" s="1"/>
      <c r="H651" s="4" t="str">
        <f>'BID II'!B1940</f>
        <v>Belanja Modal Jalan</v>
      </c>
      <c r="I651" s="1"/>
      <c r="J651" s="1"/>
      <c r="K651" s="91"/>
      <c r="L651" s="91"/>
      <c r="M651" s="83"/>
    </row>
    <row r="652" spans="1:13" ht="30" x14ac:dyDescent="0.25">
      <c r="A652" s="1"/>
      <c r="B652" s="1"/>
      <c r="C652" s="1"/>
      <c r="D652" s="1"/>
      <c r="E652" s="1"/>
      <c r="F652" s="1"/>
      <c r="G652" s="1488" t="s">
        <v>2679</v>
      </c>
      <c r="H652" s="4" t="str">
        <f>'BID II'!B1941</f>
        <v>Honorarium Tim Yang Melaksanakan Kegiatan</v>
      </c>
      <c r="I652" s="1"/>
      <c r="J652" s="1"/>
      <c r="K652" s="91">
        <f>'BID II'!F1943</f>
        <v>1600000</v>
      </c>
      <c r="L652" s="91" t="s">
        <v>1409</v>
      </c>
      <c r="M652" s="83"/>
    </row>
    <row r="653" spans="1:13" x14ac:dyDescent="0.25">
      <c r="A653" s="1"/>
      <c r="B653" s="1"/>
      <c r="C653" s="1"/>
      <c r="D653" s="1"/>
      <c r="E653" s="1"/>
      <c r="F653" s="1"/>
      <c r="G653" s="1488" t="s">
        <v>2694</v>
      </c>
      <c r="H653" s="1" t="str">
        <f>'BID II'!B1944</f>
        <v>Belanja Upah</v>
      </c>
      <c r="I653" s="1"/>
      <c r="J653" s="1"/>
      <c r="K653" s="91">
        <f>'BID II'!F1948</f>
        <v>10101000</v>
      </c>
      <c r="L653" s="91" t="s">
        <v>1409</v>
      </c>
      <c r="M653" s="83"/>
    </row>
    <row r="654" spans="1:13" x14ac:dyDescent="0.25">
      <c r="A654" s="1"/>
      <c r="B654" s="1"/>
      <c r="C654" s="1"/>
      <c r="D654" s="1"/>
      <c r="E654" s="1"/>
      <c r="F654" s="1"/>
      <c r="G654" s="1488" t="s">
        <v>2696</v>
      </c>
      <c r="H654" s="1" t="str">
        <f>'BID II'!B1949</f>
        <v>Bahan Baku</v>
      </c>
      <c r="I654" s="1"/>
      <c r="J654" s="1"/>
      <c r="K654" s="91">
        <f>'BID II'!F1952</f>
        <v>91130000</v>
      </c>
      <c r="L654" s="91" t="s">
        <v>1409</v>
      </c>
      <c r="M654" s="83"/>
    </row>
    <row r="655" spans="1:13" ht="60" x14ac:dyDescent="0.25">
      <c r="A655" s="1027">
        <v>2</v>
      </c>
      <c r="B655" s="1027">
        <v>3</v>
      </c>
      <c r="C655" s="1027">
        <v>12</v>
      </c>
      <c r="D655" s="1027"/>
      <c r="E655" s="1027"/>
      <c r="F655" s="1027"/>
      <c r="G655" s="1027"/>
      <c r="H655" s="1028" t="str">
        <f>'BID II'!B1968</f>
        <v>: Pembangunan Jalan Usaha Tani (Subak Temaga Munduk Pengiu RABAT BETON)</v>
      </c>
      <c r="I655" s="1027"/>
      <c r="J655" s="1027"/>
      <c r="K655" s="1492">
        <f>SUM(K656:K660)</f>
        <v>45980000</v>
      </c>
      <c r="L655" s="1027"/>
      <c r="M655">
        <f>'BID II'!F1991</f>
        <v>45980000</v>
      </c>
    </row>
    <row r="656" spans="1:13" x14ac:dyDescent="0.25">
      <c r="A656" s="1"/>
      <c r="B656" s="1"/>
      <c r="C656" s="1"/>
      <c r="D656" s="1">
        <v>5</v>
      </c>
      <c r="E656" s="1">
        <v>3</v>
      </c>
      <c r="F656" s="1"/>
      <c r="G656" s="1"/>
      <c r="H656" s="4" t="str">
        <f>'BID II'!B1975</f>
        <v xml:space="preserve">Belanja Modal </v>
      </c>
      <c r="I656" s="1"/>
      <c r="J656" s="1"/>
      <c r="K656" s="91"/>
      <c r="L656" s="1"/>
    </row>
    <row r="657" spans="1:13" x14ac:dyDescent="0.25">
      <c r="A657" s="1"/>
      <c r="B657" s="1"/>
      <c r="C657" s="1"/>
      <c r="D657" s="1"/>
      <c r="E657" s="1"/>
      <c r="F657" s="1">
        <v>5</v>
      </c>
      <c r="G657" s="1"/>
      <c r="H657" s="4" t="str">
        <f>'BID II'!B1976</f>
        <v>Belanja Modal Jalan</v>
      </c>
      <c r="I657" s="1"/>
      <c r="J657" s="1"/>
      <c r="K657" s="91"/>
      <c r="L657" s="1"/>
    </row>
    <row r="658" spans="1:13" ht="30" x14ac:dyDescent="0.25">
      <c r="A658" s="1"/>
      <c r="B658" s="1"/>
      <c r="C658" s="1"/>
      <c r="D658" s="1"/>
      <c r="E658" s="1"/>
      <c r="F658" s="1"/>
      <c r="G658" s="1488" t="s">
        <v>2679</v>
      </c>
      <c r="H658" s="4" t="str">
        <f>'BID II'!B1977</f>
        <v>Honorarium Tim Yang Melaksanakan Kegiatan</v>
      </c>
      <c r="I658" s="1"/>
      <c r="J658" s="1"/>
      <c r="K658" s="91">
        <f>'BID II'!F1979</f>
        <v>1192000</v>
      </c>
      <c r="L658" s="1" t="s">
        <v>1409</v>
      </c>
    </row>
    <row r="659" spans="1:13" x14ac:dyDescent="0.25">
      <c r="A659" s="1"/>
      <c r="B659" s="1"/>
      <c r="C659" s="1"/>
      <c r="D659" s="1"/>
      <c r="E659" s="1"/>
      <c r="F659" s="1"/>
      <c r="G659" s="1488" t="s">
        <v>2694</v>
      </c>
      <c r="H659" s="1" t="str">
        <f>'BID II'!B1980</f>
        <v>Belanja Upah</v>
      </c>
      <c r="I659" s="1"/>
      <c r="J659" s="1"/>
      <c r="K659" s="91">
        <f>'BID II'!F1984</f>
        <v>11670000</v>
      </c>
      <c r="L659" s="1" t="s">
        <v>1409</v>
      </c>
    </row>
    <row r="660" spans="1:13" x14ac:dyDescent="0.25">
      <c r="A660" s="1"/>
      <c r="B660" s="1"/>
      <c r="C660" s="1"/>
      <c r="D660" s="1"/>
      <c r="E660" s="1"/>
      <c r="F660" s="1"/>
      <c r="G660" s="1488" t="s">
        <v>2696</v>
      </c>
      <c r="H660" s="1" t="str">
        <f>'BID II'!B1985</f>
        <v>Bahan Baku</v>
      </c>
      <c r="I660" s="1"/>
      <c r="J660" s="1"/>
      <c r="K660" s="91">
        <f>'BID II'!F1990</f>
        <v>33118000</v>
      </c>
      <c r="L660" s="1" t="s">
        <v>1409</v>
      </c>
    </row>
    <row r="661" spans="1:13" ht="60" x14ac:dyDescent="0.25">
      <c r="A661" s="1027">
        <v>2</v>
      </c>
      <c r="B661" s="1027">
        <v>3</v>
      </c>
      <c r="C661" s="1027">
        <v>12</v>
      </c>
      <c r="D661" s="1027"/>
      <c r="E661" s="1027"/>
      <c r="F661" s="1027"/>
      <c r="G661" s="1027"/>
      <c r="H661" s="1028" t="str">
        <f>'BID II'!B2008</f>
        <v>: Pembangunan Jalan Usaha Tani ( Subak Temaga Munduk Pengiu Pembersihan Site)</v>
      </c>
      <c r="I661" s="1027"/>
      <c r="J661" s="1027"/>
      <c r="K661" s="1492">
        <f>K664+K665</f>
        <v>1723800</v>
      </c>
      <c r="L661" s="1027"/>
      <c r="M661" s="83">
        <f>'BID II'!F2023</f>
        <v>1723800</v>
      </c>
    </row>
    <row r="662" spans="1:13" x14ac:dyDescent="0.25">
      <c r="A662" s="1"/>
      <c r="B662" s="1"/>
      <c r="C662" s="1"/>
      <c r="D662" s="1">
        <v>5</v>
      </c>
      <c r="E662" s="1">
        <v>2</v>
      </c>
      <c r="F662" s="1"/>
      <c r="G662" s="1"/>
      <c r="H662" s="1" t="str">
        <f>'BID II'!B2015</f>
        <v xml:space="preserve">Belanja Modal </v>
      </c>
      <c r="I662" s="1"/>
      <c r="J662" s="1"/>
      <c r="K662" s="91"/>
      <c r="L662" s="1"/>
    </row>
    <row r="663" spans="1:13" x14ac:dyDescent="0.25">
      <c r="A663" s="1"/>
      <c r="B663" s="1"/>
      <c r="C663" s="1"/>
      <c r="D663" s="1"/>
      <c r="E663" s="1"/>
      <c r="F663" s="1">
        <v>5</v>
      </c>
      <c r="G663" s="1"/>
      <c r="H663" s="1" t="str">
        <f>'BID II'!B2016</f>
        <v>Belanja Modal Jalan</v>
      </c>
      <c r="I663" s="1"/>
      <c r="J663" s="1"/>
      <c r="K663" s="91"/>
      <c r="L663" s="1"/>
    </row>
    <row r="664" spans="1:13" ht="30" x14ac:dyDescent="0.25">
      <c r="A664" s="1"/>
      <c r="B664" s="1"/>
      <c r="C664" s="1"/>
      <c r="D664" s="1"/>
      <c r="E664" s="1"/>
      <c r="F664" s="1"/>
      <c r="G664" s="1488" t="s">
        <v>2679</v>
      </c>
      <c r="H664" s="4" t="str">
        <f>'BID II'!B2017</f>
        <v>Honorarium Tim Yang Melaksanakan Kegiatan</v>
      </c>
      <c r="I664" s="1"/>
      <c r="J664" s="1"/>
      <c r="K664" s="91">
        <f>'BID II'!F2018</f>
        <v>33800</v>
      </c>
      <c r="L664" s="1" t="s">
        <v>1409</v>
      </c>
    </row>
    <row r="665" spans="1:13" x14ac:dyDescent="0.25">
      <c r="A665" s="1"/>
      <c r="B665" s="1"/>
      <c r="C665" s="1"/>
      <c r="D665" s="1"/>
      <c r="E665" s="1"/>
      <c r="F665" s="1"/>
      <c r="G665" s="1488" t="s">
        <v>2694</v>
      </c>
      <c r="H665" s="1" t="str">
        <f>'BID II'!B2020</f>
        <v>Belanja Upah</v>
      </c>
      <c r="I665" s="1"/>
      <c r="J665" s="1"/>
      <c r="K665" s="91">
        <f>'BID II'!F2022</f>
        <v>1690000</v>
      </c>
      <c r="L665" s="1" t="s">
        <v>1409</v>
      </c>
    </row>
    <row r="666" spans="1:13" ht="75" x14ac:dyDescent="0.25">
      <c r="A666" s="1498">
        <v>2</v>
      </c>
      <c r="B666" s="1498">
        <v>3</v>
      </c>
      <c r="C666" s="1498">
        <v>12</v>
      </c>
      <c r="D666" s="1498"/>
      <c r="E666" s="1498"/>
      <c r="F666" s="1498"/>
      <c r="G666" s="1498"/>
      <c r="H666" s="1494" t="str">
        <f>'BID II'!B2040</f>
        <v>: Pembangunan Jalan Usaha Tani (Subak Temaga Munduk Pengiu KOLOM PENGUAT BETON BERTULANG 20X20 )</v>
      </c>
      <c r="I666" s="1492"/>
      <c r="J666" s="1492"/>
      <c r="K666" s="1492">
        <f>SUM(K667:K671)</f>
        <v>20224560</v>
      </c>
      <c r="L666" s="1492"/>
      <c r="M666">
        <f>'BID II'!F2067</f>
        <v>20224560</v>
      </c>
    </row>
    <row r="667" spans="1:13" x14ac:dyDescent="0.25">
      <c r="A667" s="1"/>
      <c r="B667" s="1"/>
      <c r="C667" s="1"/>
      <c r="D667" s="1">
        <v>5</v>
      </c>
      <c r="E667" s="1">
        <v>3</v>
      </c>
      <c r="F667" s="1"/>
      <c r="G667" s="1"/>
      <c r="H667" s="4" t="str">
        <f>'BID II'!B2047</f>
        <v xml:space="preserve">Belanja Modal </v>
      </c>
      <c r="I667" s="1"/>
      <c r="J667" s="1"/>
      <c r="K667" s="91"/>
      <c r="L667" s="1"/>
    </row>
    <row r="668" spans="1:13" x14ac:dyDescent="0.25">
      <c r="A668" s="1"/>
      <c r="B668" s="1"/>
      <c r="C668" s="1"/>
      <c r="D668" s="1"/>
      <c r="E668" s="1"/>
      <c r="F668" s="1">
        <v>5</v>
      </c>
      <c r="G668" s="1"/>
      <c r="H668" s="4" t="str">
        <f>'BID II'!B2048</f>
        <v>Belanja Modal Jalan</v>
      </c>
      <c r="I668" s="1"/>
      <c r="J668" s="1"/>
      <c r="K668" s="91"/>
      <c r="L668" s="1"/>
    </row>
    <row r="669" spans="1:13" ht="30" x14ac:dyDescent="0.25">
      <c r="A669" s="1"/>
      <c r="B669" s="1"/>
      <c r="C669" s="1"/>
      <c r="D669" s="1"/>
      <c r="E669" s="1"/>
      <c r="F669" s="1"/>
      <c r="G669" s="1488" t="s">
        <v>2679</v>
      </c>
      <c r="H669" s="4" t="str">
        <f>'BID II'!B2049</f>
        <v>Honorarium Tim Yang Melaksanakan Kegiatan</v>
      </c>
      <c r="I669" s="1"/>
      <c r="J669" s="1"/>
      <c r="K669" s="91">
        <f>'BID II'!F2051</f>
        <v>381760</v>
      </c>
      <c r="L669" s="1" t="s">
        <v>1409</v>
      </c>
    </row>
    <row r="670" spans="1:13" x14ac:dyDescent="0.25">
      <c r="A670" s="1"/>
      <c r="B670" s="1"/>
      <c r="C670" s="1"/>
      <c r="D670" s="1"/>
      <c r="E670" s="1"/>
      <c r="F670" s="1"/>
      <c r="G670" s="1488" t="s">
        <v>2694</v>
      </c>
      <c r="H670" s="1" t="str">
        <f>'BID II'!B2052</f>
        <v>Belanja Upah</v>
      </c>
      <c r="I670" s="1"/>
      <c r="J670" s="1"/>
      <c r="K670" s="91">
        <f>'BID II'!F2056</f>
        <v>10070000</v>
      </c>
      <c r="L670" s="1" t="s">
        <v>1409</v>
      </c>
    </row>
    <row r="671" spans="1:13" x14ac:dyDescent="0.25">
      <c r="A671" s="1"/>
      <c r="B671" s="1"/>
      <c r="C671" s="1"/>
      <c r="D671" s="1"/>
      <c r="E671" s="1"/>
      <c r="F671" s="1"/>
      <c r="G671" s="1488" t="s">
        <v>2696</v>
      </c>
      <c r="H671" s="1" t="str">
        <f>'BID II'!B2057</f>
        <v>Bahan Baku</v>
      </c>
      <c r="I671" s="1"/>
      <c r="J671" s="1"/>
      <c r="K671" s="91">
        <f>'BID II'!F2066</f>
        <v>9772800</v>
      </c>
      <c r="L671" s="1" t="s">
        <v>1409</v>
      </c>
    </row>
    <row r="672" spans="1:13" ht="75" x14ac:dyDescent="0.25">
      <c r="A672" s="1027">
        <v>2</v>
      </c>
      <c r="B672" s="1027">
        <v>3</v>
      </c>
      <c r="C672" s="1027">
        <v>12</v>
      </c>
      <c r="D672" s="1027"/>
      <c r="E672" s="1027"/>
      <c r="F672" s="1027"/>
      <c r="G672" s="1027"/>
      <c r="H672" s="1028" t="str">
        <f>'BID II'!B2081</f>
        <v>: Pembangunan Jalan Usaha Tani (Subak Temaga Munduk Pengiu BEKISTING UNTUK PONDASI)</v>
      </c>
      <c r="I672" s="1027"/>
      <c r="J672" s="1027"/>
      <c r="K672" s="1492">
        <f>SUM(K673:K677)</f>
        <v>70946000</v>
      </c>
      <c r="L672" s="1492"/>
      <c r="M672" s="83">
        <f>'BID II'!F2104</f>
        <v>70946000</v>
      </c>
    </row>
    <row r="673" spans="1:13" x14ac:dyDescent="0.25">
      <c r="A673" s="1"/>
      <c r="B673" s="1"/>
      <c r="C673" s="1"/>
      <c r="D673" s="1">
        <v>5</v>
      </c>
      <c r="E673" s="1">
        <v>3</v>
      </c>
      <c r="F673" s="1"/>
      <c r="G673" s="1"/>
      <c r="H673" s="1" t="str">
        <f>'BID II'!B2088</f>
        <v xml:space="preserve">Belanja Modal </v>
      </c>
      <c r="I673" s="1"/>
      <c r="J673" s="1"/>
      <c r="K673" s="91"/>
      <c r="L673" s="1"/>
    </row>
    <row r="674" spans="1:13" x14ac:dyDescent="0.25">
      <c r="A674" s="1"/>
      <c r="B674" s="1"/>
      <c r="C674" s="1"/>
      <c r="D674" s="1"/>
      <c r="E674" s="1"/>
      <c r="F674" s="1">
        <v>5</v>
      </c>
      <c r="G674" s="1"/>
      <c r="H674" s="1" t="str">
        <f>'BID II'!B2089</f>
        <v>Belanja Modal Jalan</v>
      </c>
      <c r="I674" s="1"/>
      <c r="J674" s="1"/>
      <c r="K674" s="91"/>
      <c r="L674" s="1"/>
    </row>
    <row r="675" spans="1:13" ht="30" x14ac:dyDescent="0.25">
      <c r="A675" s="1"/>
      <c r="B675" s="1"/>
      <c r="C675" s="1"/>
      <c r="D675" s="1"/>
      <c r="E675" s="1"/>
      <c r="F675" s="1"/>
      <c r="G675" s="1488" t="s">
        <v>2679</v>
      </c>
      <c r="H675" s="4" t="str">
        <f>'BID II'!B2090</f>
        <v>Honorarium Tim Yang Melaksanakan Kegiatan</v>
      </c>
      <c r="I675" s="1"/>
      <c r="J675" s="1"/>
      <c r="K675" s="91">
        <f>SUM('BID II'!F2092)</f>
        <v>1351000</v>
      </c>
      <c r="L675" s="1" t="s">
        <v>1409</v>
      </c>
    </row>
    <row r="676" spans="1:13" x14ac:dyDescent="0.25">
      <c r="A676" s="1"/>
      <c r="B676" s="1"/>
      <c r="C676" s="1"/>
      <c r="D676" s="1"/>
      <c r="E676" s="1"/>
      <c r="F676" s="1"/>
      <c r="G676" s="1488" t="s">
        <v>2694</v>
      </c>
      <c r="H676" s="1" t="str">
        <f>'BID II'!B2093</f>
        <v>Belanja Upah</v>
      </c>
      <c r="I676" s="1"/>
      <c r="J676" s="1"/>
      <c r="K676" s="91">
        <f>'BID II'!F2097</f>
        <v>12300000</v>
      </c>
      <c r="L676" s="1" t="s">
        <v>1409</v>
      </c>
    </row>
    <row r="677" spans="1:13" x14ac:dyDescent="0.25">
      <c r="A677" s="1"/>
      <c r="B677" s="1"/>
      <c r="C677" s="1"/>
      <c r="D677" s="1"/>
      <c r="E677" s="1"/>
      <c r="F677" s="1"/>
      <c r="G677" s="1488" t="s">
        <v>2696</v>
      </c>
      <c r="H677" s="1" t="str">
        <f>'BID II'!B2098</f>
        <v>Bahan Baku</v>
      </c>
      <c r="I677" s="1"/>
      <c r="J677" s="1"/>
      <c r="K677" s="91">
        <f>'BID II'!F2103</f>
        <v>57295000</v>
      </c>
      <c r="L677" s="1" t="s">
        <v>1409</v>
      </c>
    </row>
    <row r="678" spans="1:13" ht="75" x14ac:dyDescent="0.25">
      <c r="A678" s="1027">
        <v>2</v>
      </c>
      <c r="B678" s="1027">
        <v>3</v>
      </c>
      <c r="C678" s="1491" t="s">
        <v>2696</v>
      </c>
      <c r="D678" s="1027"/>
      <c r="E678" s="1027"/>
      <c r="F678" s="1027"/>
      <c r="G678" s="1027"/>
      <c r="H678" s="1028" t="str">
        <f>'BID II'!B2119</f>
        <v>Pemeliharaan Jalan Lingkungan Permukiman Gang Lotus tembus gang pacah ( Pembersihan Site)</v>
      </c>
      <c r="I678" s="1027"/>
      <c r="J678" s="1027"/>
      <c r="K678" s="1492">
        <f>SUM(K679:K682)</f>
        <v>2900000</v>
      </c>
      <c r="L678" s="1027"/>
      <c r="M678">
        <f>'BID II'!F2135</f>
        <v>2900000</v>
      </c>
    </row>
    <row r="679" spans="1:13" x14ac:dyDescent="0.25">
      <c r="A679" s="1"/>
      <c r="B679" s="1"/>
      <c r="C679" s="1"/>
      <c r="D679" s="1">
        <v>5</v>
      </c>
      <c r="E679" s="1">
        <v>3</v>
      </c>
      <c r="F679" s="1"/>
      <c r="G679" s="1"/>
      <c r="H679" s="1" t="str">
        <f>'BID II'!B2126</f>
        <v xml:space="preserve">Belanja Modal </v>
      </c>
      <c r="I679" s="1"/>
      <c r="J679" s="1"/>
      <c r="K679" s="91"/>
      <c r="L679" s="1"/>
    </row>
    <row r="680" spans="1:13" x14ac:dyDescent="0.25">
      <c r="A680" s="1"/>
      <c r="B680" s="1"/>
      <c r="C680" s="1"/>
      <c r="D680" s="1"/>
      <c r="E680" s="1"/>
      <c r="F680" s="1">
        <v>5</v>
      </c>
      <c r="G680" s="1"/>
      <c r="H680" s="1" t="str">
        <f>'BID II'!B2127</f>
        <v>Belanja Modal Jalan</v>
      </c>
      <c r="I680" s="1"/>
      <c r="J680" s="1"/>
      <c r="K680" s="91"/>
      <c r="L680" s="1"/>
    </row>
    <row r="681" spans="1:13" ht="30" x14ac:dyDescent="0.25">
      <c r="A681" s="1"/>
      <c r="B681" s="1"/>
      <c r="C681" s="1"/>
      <c r="D681" s="1"/>
      <c r="E681" s="1"/>
      <c r="F681" s="1"/>
      <c r="G681" s="1488" t="s">
        <v>2679</v>
      </c>
      <c r="H681" s="4" t="str">
        <f>'BID II'!B2128</f>
        <v>Honorarium Tim Yang Melaksanakan Kegiatan</v>
      </c>
      <c r="I681" s="1"/>
      <c r="J681" s="1"/>
      <c r="K681" s="91">
        <f>'BID II'!F2130</f>
        <v>300000</v>
      </c>
      <c r="L681" s="1" t="s">
        <v>1845</v>
      </c>
    </row>
    <row r="682" spans="1:13" x14ac:dyDescent="0.25">
      <c r="A682" s="1"/>
      <c r="B682" s="1"/>
      <c r="C682" s="1"/>
      <c r="D682" s="1"/>
      <c r="E682" s="1"/>
      <c r="F682" s="1"/>
      <c r="G682" s="1488" t="s">
        <v>2694</v>
      </c>
      <c r="H682" s="1" t="str">
        <f>'BID II'!B2131</f>
        <v>Belanja Upah</v>
      </c>
      <c r="I682" s="1"/>
      <c r="J682" s="1"/>
      <c r="K682" s="91">
        <f>'BID II'!F2133</f>
        <v>2600000</v>
      </c>
      <c r="L682" s="1" t="s">
        <v>1845</v>
      </c>
    </row>
    <row r="683" spans="1:13" ht="60" x14ac:dyDescent="0.25">
      <c r="A683" s="1027">
        <v>2</v>
      </c>
      <c r="B683" s="1027">
        <v>3</v>
      </c>
      <c r="C683" s="1491" t="s">
        <v>2696</v>
      </c>
      <c r="D683" s="1027"/>
      <c r="E683" s="1027"/>
      <c r="F683" s="1027"/>
      <c r="G683" s="1027"/>
      <c r="H683" s="1028" t="str">
        <f>'BID II'!B2148</f>
        <v>Pemeliharaan Jalan Lingkungan Permukiman Gang Lotus Tembus Gang Pacah( Galian)</v>
      </c>
      <c r="I683" s="1027"/>
      <c r="J683" s="1027"/>
      <c r="K683" s="1492">
        <f>SUM(K684:K687)</f>
        <v>2187900</v>
      </c>
      <c r="L683" s="1027"/>
      <c r="M683">
        <f>'BID II'!F2164:F2164</f>
        <v>2187900</v>
      </c>
    </row>
    <row r="684" spans="1:13" x14ac:dyDescent="0.25">
      <c r="A684" s="1"/>
      <c r="B684" s="1"/>
      <c r="C684" s="1"/>
      <c r="D684" s="1">
        <v>5</v>
      </c>
      <c r="E684" s="1">
        <v>3</v>
      </c>
      <c r="F684" s="1"/>
      <c r="G684" s="1"/>
      <c r="H684" s="1" t="str">
        <f>'BID II'!B2155</f>
        <v xml:space="preserve">Belanja Modal </v>
      </c>
      <c r="I684" s="1"/>
      <c r="J684" s="1"/>
      <c r="K684" s="91"/>
      <c r="L684" s="1"/>
    </row>
    <row r="685" spans="1:13" x14ac:dyDescent="0.25">
      <c r="A685" s="1"/>
      <c r="B685" s="1"/>
      <c r="C685" s="1"/>
      <c r="D685" s="1"/>
      <c r="E685" s="1"/>
      <c r="F685" s="1">
        <v>5</v>
      </c>
      <c r="G685" s="1"/>
      <c r="H685" s="1" t="str">
        <f>'BID II'!B2156</f>
        <v>Belanja Modal Jalan</v>
      </c>
      <c r="I685" s="1"/>
      <c r="J685" s="1"/>
      <c r="K685" s="91"/>
      <c r="L685" s="1"/>
    </row>
    <row r="686" spans="1:13" ht="30" x14ac:dyDescent="0.25">
      <c r="A686" s="1"/>
      <c r="B686" s="1"/>
      <c r="C686" s="1"/>
      <c r="D686" s="1"/>
      <c r="E686" s="1"/>
      <c r="F686" s="1"/>
      <c r="G686" s="1488" t="s">
        <v>2679</v>
      </c>
      <c r="H686" s="4" t="str">
        <f>'BID II'!B2157</f>
        <v>Honorarium Tim Yang Melaksanakan Kegiatan</v>
      </c>
      <c r="I686" s="1"/>
      <c r="J686" s="1"/>
      <c r="K686" s="91">
        <f>'BID II'!F2159</f>
        <v>42900</v>
      </c>
      <c r="L686" s="1" t="s">
        <v>1845</v>
      </c>
    </row>
    <row r="687" spans="1:13" x14ac:dyDescent="0.25">
      <c r="A687" s="1"/>
      <c r="B687" s="1"/>
      <c r="C687" s="1"/>
      <c r="D687" s="1"/>
      <c r="E687" s="1"/>
      <c r="F687" s="1"/>
      <c r="G687" s="1488" t="s">
        <v>2694</v>
      </c>
      <c r="H687" s="1" t="str">
        <f>'BID II'!B2160</f>
        <v>Belanja Upah</v>
      </c>
      <c r="I687" s="1"/>
      <c r="J687" s="1"/>
      <c r="K687" s="91">
        <f>'BID II'!F2161</f>
        <v>2145000</v>
      </c>
      <c r="L687" s="1" t="s">
        <v>1845</v>
      </c>
    </row>
    <row r="688" spans="1:13" ht="75" x14ac:dyDescent="0.25">
      <c r="A688" s="1027">
        <v>2</v>
      </c>
      <c r="B688" s="1027">
        <v>3</v>
      </c>
      <c r="C688" s="1491" t="s">
        <v>2696</v>
      </c>
      <c r="D688" s="1027"/>
      <c r="E688" s="1027"/>
      <c r="F688" s="1027"/>
      <c r="G688" s="1027"/>
      <c r="H688" s="1028" t="str">
        <f>'BID II'!B2187</f>
        <v>Pemeliharaan Jalan Lingkungan Permukiman Gang Lotus Tembus Gang Pacah ( PONDASI BATU KALI)</v>
      </c>
      <c r="I688" s="1027"/>
      <c r="J688" s="1027"/>
      <c r="K688" s="1492">
        <f>SUM(K689:K693)</f>
        <v>22241320</v>
      </c>
      <c r="L688" s="1492"/>
      <c r="M688" s="83">
        <f>'BID II'!F2216</f>
        <v>22241320</v>
      </c>
    </row>
    <row r="689" spans="1:13" x14ac:dyDescent="0.25">
      <c r="A689" s="1"/>
      <c r="B689" s="1"/>
      <c r="C689" s="1"/>
      <c r="D689" s="1">
        <v>5</v>
      </c>
      <c r="E689" s="1">
        <v>3</v>
      </c>
      <c r="F689" s="1"/>
      <c r="G689" s="1"/>
      <c r="H689" s="4" t="str">
        <f>'BID II'!B2194</f>
        <v xml:space="preserve">Belanja Modal </v>
      </c>
      <c r="I689" s="1"/>
      <c r="J689" s="1"/>
      <c r="K689" s="91"/>
      <c r="L689" s="1"/>
    </row>
    <row r="690" spans="1:13" x14ac:dyDescent="0.25">
      <c r="A690" s="1"/>
      <c r="B690" s="1"/>
      <c r="C690" s="1"/>
      <c r="D690" s="1"/>
      <c r="E690" s="1"/>
      <c r="F690" s="1">
        <v>5</v>
      </c>
      <c r="G690" s="1"/>
      <c r="H690" s="4" t="str">
        <f>'BID II'!B2195</f>
        <v>Belanja Modal Jalan</v>
      </c>
      <c r="I690" s="1"/>
      <c r="J690" s="1"/>
      <c r="K690" s="91"/>
      <c r="L690" s="1"/>
    </row>
    <row r="691" spans="1:13" ht="30" x14ac:dyDescent="0.25">
      <c r="A691" s="1"/>
      <c r="B691" s="1"/>
      <c r="C691" s="1"/>
      <c r="D691" s="1"/>
      <c r="E691" s="1"/>
      <c r="F691" s="1"/>
      <c r="G691" s="1488" t="s">
        <v>2679</v>
      </c>
      <c r="H691" s="4" t="str">
        <f>'BID II'!B2196</f>
        <v>Honorarium Tim Yang Melaksanakan Kegiatan</v>
      </c>
      <c r="I691" s="1"/>
      <c r="J691" s="1"/>
      <c r="K691" s="91">
        <f>'BID II'!F2198</f>
        <v>526320</v>
      </c>
      <c r="L691" s="4" t="s">
        <v>2571</v>
      </c>
    </row>
    <row r="692" spans="1:13" ht="30" x14ac:dyDescent="0.25">
      <c r="A692" s="1"/>
      <c r="B692" s="1"/>
      <c r="C692" s="1"/>
      <c r="D692" s="1"/>
      <c r="E692" s="1"/>
      <c r="F692" s="1"/>
      <c r="G692" s="1488" t="s">
        <v>2694</v>
      </c>
      <c r="H692" s="1" t="str">
        <f>'BID II'!B2199</f>
        <v>Belanja Upah</v>
      </c>
      <c r="I692" s="1"/>
      <c r="J692" s="1"/>
      <c r="K692" s="91">
        <f>'BID II'!F2203</f>
        <v>3990000</v>
      </c>
      <c r="L692" s="4" t="s">
        <v>2571</v>
      </c>
    </row>
    <row r="693" spans="1:13" ht="30" x14ac:dyDescent="0.25">
      <c r="A693" s="1"/>
      <c r="B693" s="1"/>
      <c r="C693" s="1"/>
      <c r="D693" s="1"/>
      <c r="E693" s="1"/>
      <c r="F693" s="1"/>
      <c r="G693" s="1488" t="s">
        <v>2696</v>
      </c>
      <c r="H693" s="1" t="str">
        <f>'BID II'!B2204</f>
        <v>Bahan Baku</v>
      </c>
      <c r="I693" s="1"/>
      <c r="J693" s="1"/>
      <c r="K693" s="91">
        <f>'BID II'!F2215</f>
        <v>17725000</v>
      </c>
      <c r="L693" s="4" t="s">
        <v>2571</v>
      </c>
    </row>
    <row r="694" spans="1:13" ht="75" x14ac:dyDescent="0.25">
      <c r="A694" s="1027">
        <v>2</v>
      </c>
      <c r="B694" s="1027">
        <v>3</v>
      </c>
      <c r="C694" s="1491" t="s">
        <v>2696</v>
      </c>
      <c r="D694" s="1027"/>
      <c r="E694" s="1027"/>
      <c r="F694" s="1027"/>
      <c r="G694" s="1027"/>
      <c r="H694" s="1028" t="str">
        <f>'BID II'!B2244</f>
        <v>Pemeliharaan Jalan Lingkungan Permukiman Gang Lotus Tembus Gang Pacah ( Pondasi Beton Bertulang)</v>
      </c>
      <c r="I694" s="1027"/>
      <c r="J694" s="1027"/>
      <c r="K694" s="1492">
        <f>SUM(K695:K699)</f>
        <v>10202320</v>
      </c>
      <c r="L694" s="1492"/>
      <c r="M694" s="83">
        <f>'BID II'!F2266</f>
        <v>10202320</v>
      </c>
    </row>
    <row r="695" spans="1:13" x14ac:dyDescent="0.25">
      <c r="A695" s="1"/>
      <c r="B695" s="1"/>
      <c r="C695" s="1"/>
      <c r="D695" s="1">
        <v>5</v>
      </c>
      <c r="E695" s="1">
        <v>3</v>
      </c>
      <c r="F695" s="1"/>
      <c r="G695" s="1"/>
      <c r="H695" s="4" t="str">
        <f>'BID II'!B2251</f>
        <v xml:space="preserve">Belanja Modal </v>
      </c>
      <c r="I695" s="1"/>
      <c r="J695" s="1"/>
      <c r="K695" s="91"/>
      <c r="L695" s="1"/>
    </row>
    <row r="696" spans="1:13" x14ac:dyDescent="0.25">
      <c r="A696" s="1"/>
      <c r="B696" s="1"/>
      <c r="C696" s="1"/>
      <c r="D696" s="1"/>
      <c r="E696" s="1"/>
      <c r="F696" s="1">
        <v>5</v>
      </c>
      <c r="G696" s="1"/>
      <c r="H696" s="4" t="str">
        <f>'BID II'!B2252</f>
        <v>Belanja Modal Jalan</v>
      </c>
      <c r="I696" s="1"/>
      <c r="J696" s="1"/>
      <c r="K696" s="91"/>
      <c r="L696" s="1"/>
    </row>
    <row r="697" spans="1:13" ht="30" x14ac:dyDescent="0.25">
      <c r="A697" s="1"/>
      <c r="B697" s="1"/>
      <c r="C697" s="1"/>
      <c r="D697" s="1"/>
      <c r="E697" s="1"/>
      <c r="F697" s="1"/>
      <c r="G697" s="1488" t="s">
        <v>2679</v>
      </c>
      <c r="H697" s="4" t="str">
        <f>'BID II'!B2253</f>
        <v>Honorarium Tim Yang Melaksanakan Kegiatan</v>
      </c>
      <c r="I697" s="1"/>
      <c r="J697" s="1"/>
      <c r="K697" s="91">
        <f>'BID II'!F2255</f>
        <v>265320</v>
      </c>
      <c r="L697" s="4" t="s">
        <v>2571</v>
      </c>
    </row>
    <row r="698" spans="1:13" ht="30" x14ac:dyDescent="0.25">
      <c r="A698" s="1"/>
      <c r="B698" s="1"/>
      <c r="C698" s="1"/>
      <c r="D698" s="1"/>
      <c r="E698" s="1"/>
      <c r="F698" s="1"/>
      <c r="G698" s="1488" t="s">
        <v>2694</v>
      </c>
      <c r="H698" s="1" t="str">
        <f>'BID II'!B2256</f>
        <v>Belanja Upah</v>
      </c>
      <c r="I698" s="1"/>
      <c r="J698" s="1"/>
      <c r="K698" s="91">
        <f>'BID II'!F2259</f>
        <v>1640000</v>
      </c>
      <c r="L698" s="4" t="s">
        <v>2571</v>
      </c>
    </row>
    <row r="699" spans="1:13" ht="30" x14ac:dyDescent="0.25">
      <c r="A699" s="1"/>
      <c r="B699" s="1"/>
      <c r="C699" s="1"/>
      <c r="D699" s="1"/>
      <c r="E699" s="1"/>
      <c r="F699" s="1"/>
      <c r="G699" s="1488" t="s">
        <v>2696</v>
      </c>
      <c r="H699" s="1" t="str">
        <f>'BID II'!B2260</f>
        <v>Bahan Baku</v>
      </c>
      <c r="I699" s="1"/>
      <c r="J699" s="1"/>
      <c r="K699" s="91">
        <f>'BID II'!F2265</f>
        <v>8297000</v>
      </c>
      <c r="L699" s="4" t="s">
        <v>2571</v>
      </c>
    </row>
    <row r="700" spans="1:13" ht="75" x14ac:dyDescent="0.25">
      <c r="A700" s="1027">
        <v>2</v>
      </c>
      <c r="B700" s="1027">
        <v>3</v>
      </c>
      <c r="C700" s="1491" t="s">
        <v>2696</v>
      </c>
      <c r="D700" s="1027"/>
      <c r="E700" s="1027"/>
      <c r="F700" s="1027"/>
      <c r="G700" s="1027"/>
      <c r="H700" s="1028" t="str">
        <f>'BID II'!B2285</f>
        <v>Pemeliharaan Jalan Lingkungan Permukiman Gang Lotus Tembus Gang Pacah ( COR PLAT PENUTUP GOT)</v>
      </c>
      <c r="I700" s="1027"/>
      <c r="J700" s="1027"/>
      <c r="K700" s="1492">
        <f>SUM(K701:K705)</f>
        <v>12235526</v>
      </c>
      <c r="L700" s="1027"/>
      <c r="M700" s="83">
        <f>'BID II'!F2307</f>
        <v>12235526</v>
      </c>
    </row>
    <row r="701" spans="1:13" x14ac:dyDescent="0.25">
      <c r="A701" s="1"/>
      <c r="B701" s="1"/>
      <c r="C701" s="1"/>
      <c r="D701" s="1">
        <v>5</v>
      </c>
      <c r="E701" s="1">
        <v>3</v>
      </c>
      <c r="F701" s="1"/>
      <c r="G701" s="1"/>
      <c r="H701" s="4" t="str">
        <f>'BID II'!B2292</f>
        <v xml:space="preserve">Belanja Modal </v>
      </c>
      <c r="I701" s="1"/>
      <c r="J701" s="1"/>
      <c r="K701" s="91"/>
      <c r="L701" s="1"/>
    </row>
    <row r="702" spans="1:13" x14ac:dyDescent="0.25">
      <c r="A702" s="1"/>
      <c r="B702" s="1"/>
      <c r="C702" s="1"/>
      <c r="D702" s="1"/>
      <c r="E702" s="1"/>
      <c r="F702" s="1">
        <v>5</v>
      </c>
      <c r="G702" s="1"/>
      <c r="H702" s="4" t="str">
        <f>'BID II'!B2293</f>
        <v>Belanja Modal Jalan</v>
      </c>
      <c r="I702" s="1"/>
      <c r="J702" s="1"/>
      <c r="K702" s="91"/>
      <c r="L702" s="1"/>
    </row>
    <row r="703" spans="1:13" ht="30" x14ac:dyDescent="0.25">
      <c r="A703" s="1"/>
      <c r="B703" s="1"/>
      <c r="C703" s="1"/>
      <c r="D703" s="1"/>
      <c r="E703" s="1"/>
      <c r="F703" s="1"/>
      <c r="G703" s="1488" t="s">
        <v>2679</v>
      </c>
      <c r="H703" s="4" t="str">
        <f>'BID II'!B2294</f>
        <v>Honorarium Tim Yang Melaksanakan Kegiatan</v>
      </c>
      <c r="I703" s="1"/>
      <c r="J703" s="1"/>
      <c r="K703" s="91">
        <f>'BID II'!F2296</f>
        <v>323526</v>
      </c>
      <c r="L703" s="4" t="s">
        <v>2571</v>
      </c>
    </row>
    <row r="704" spans="1:13" ht="30" x14ac:dyDescent="0.25">
      <c r="A704" s="1"/>
      <c r="B704" s="1"/>
      <c r="C704" s="1"/>
      <c r="D704" s="1"/>
      <c r="E704" s="1"/>
      <c r="F704" s="1"/>
      <c r="G704" s="1488" t="s">
        <v>2694</v>
      </c>
      <c r="H704" s="1" t="str">
        <f>'BID II'!B2297</f>
        <v>Belanja Upah</v>
      </c>
      <c r="I704" s="1"/>
      <c r="J704" s="1"/>
      <c r="K704" s="91">
        <f>'BID II'!F2300</f>
        <v>1770000</v>
      </c>
      <c r="L704" s="4" t="s">
        <v>2571</v>
      </c>
    </row>
    <row r="705" spans="1:13" ht="30" x14ac:dyDescent="0.25">
      <c r="A705" s="1"/>
      <c r="B705" s="1"/>
      <c r="C705" s="1"/>
      <c r="D705" s="1"/>
      <c r="E705" s="1"/>
      <c r="F705" s="1"/>
      <c r="G705" s="1488" t="s">
        <v>2696</v>
      </c>
      <c r="H705" s="1" t="str">
        <f>'BID II'!B2301</f>
        <v>Bahan Baku</v>
      </c>
      <c r="I705" s="1"/>
      <c r="J705" s="1"/>
      <c r="K705" s="91">
        <f>'BID II'!F2306</f>
        <v>10142000</v>
      </c>
      <c r="L705" s="4" t="s">
        <v>2571</v>
      </c>
    </row>
    <row r="706" spans="1:13" ht="60" x14ac:dyDescent="0.25">
      <c r="A706" s="1027">
        <v>2</v>
      </c>
      <c r="B706" s="1027">
        <v>3</v>
      </c>
      <c r="C706" s="1491" t="s">
        <v>2696</v>
      </c>
      <c r="D706" s="1027"/>
      <c r="E706" s="1027"/>
      <c r="F706" s="1027"/>
      <c r="G706" s="1027"/>
      <c r="H706" s="1028" t="str">
        <f>'BID II'!B2329</f>
        <v>Pemeliharaan Jalan Lingkungan Permukiman Gang Lotus Tembus Gang Pacah ( PEMBESIAN)</v>
      </c>
      <c r="I706" s="1027"/>
      <c r="J706" s="1027"/>
      <c r="K706" s="1492">
        <f>SUM(K707:K711)</f>
        <v>63348640</v>
      </c>
      <c r="L706" s="1027"/>
      <c r="M706" s="83">
        <f>'BID II'!F2349</f>
        <v>63348640</v>
      </c>
    </row>
    <row r="707" spans="1:13" x14ac:dyDescent="0.25">
      <c r="A707" s="1"/>
      <c r="B707" s="1"/>
      <c r="C707" s="1"/>
      <c r="D707" s="1">
        <v>5</v>
      </c>
      <c r="E707" s="1">
        <v>3</v>
      </c>
      <c r="F707" s="1"/>
      <c r="G707" s="1"/>
      <c r="H707" s="4" t="str">
        <f>'BID II'!B2336</f>
        <v xml:space="preserve">Belanja Modal </v>
      </c>
      <c r="I707" s="1"/>
      <c r="J707" s="1"/>
      <c r="K707" s="91"/>
      <c r="L707" s="1"/>
    </row>
    <row r="708" spans="1:13" x14ac:dyDescent="0.25">
      <c r="A708" s="1"/>
      <c r="B708" s="1"/>
      <c r="C708" s="1"/>
      <c r="D708" s="1"/>
      <c r="E708" s="1"/>
      <c r="F708" s="1">
        <v>5</v>
      </c>
      <c r="G708" s="1"/>
      <c r="H708" s="4" t="str">
        <f>'BID II'!B2337</f>
        <v>Belanja Modal Jalan</v>
      </c>
      <c r="I708" s="1"/>
      <c r="J708" s="1"/>
      <c r="K708" s="91"/>
      <c r="L708" s="1"/>
    </row>
    <row r="709" spans="1:13" ht="30" x14ac:dyDescent="0.25">
      <c r="A709" s="1"/>
      <c r="B709" s="1"/>
      <c r="C709" s="1"/>
      <c r="D709" s="1"/>
      <c r="E709" s="1"/>
      <c r="F709" s="1"/>
      <c r="G709" s="1488" t="s">
        <v>2679</v>
      </c>
      <c r="H709" s="4" t="str">
        <f>'BID II'!B2338</f>
        <v>Honorarium Tim Yang Melaksanakan Kegiatan</v>
      </c>
      <c r="I709" s="1"/>
      <c r="J709" s="1"/>
      <c r="K709" s="91">
        <f>'BID II'!F2340</f>
        <v>988640</v>
      </c>
      <c r="L709" s="4" t="s">
        <v>2571</v>
      </c>
    </row>
    <row r="710" spans="1:13" ht="30" x14ac:dyDescent="0.25">
      <c r="A710" s="1"/>
      <c r="B710" s="1"/>
      <c r="C710" s="1"/>
      <c r="D710" s="1"/>
      <c r="E710" s="1"/>
      <c r="F710" s="1"/>
      <c r="G710" s="1488" t="s">
        <v>2694</v>
      </c>
      <c r="H710" s="1" t="str">
        <f>'BID II'!B2341</f>
        <v>Belanja Upah</v>
      </c>
      <c r="I710" s="1"/>
      <c r="J710" s="1"/>
      <c r="K710" s="91">
        <f>'BID II'!F2344</f>
        <v>6280000</v>
      </c>
      <c r="L710" s="4" t="s">
        <v>2571</v>
      </c>
    </row>
    <row r="711" spans="1:13" ht="30" x14ac:dyDescent="0.25">
      <c r="A711" s="1"/>
      <c r="B711" s="1"/>
      <c r="C711" s="1"/>
      <c r="D711" s="1"/>
      <c r="E711" s="1"/>
      <c r="F711" s="1"/>
      <c r="G711" s="1488" t="s">
        <v>2696</v>
      </c>
      <c r="H711" s="1" t="str">
        <f>'BID II'!B2345</f>
        <v>Bahan Baku</v>
      </c>
      <c r="I711" s="1"/>
      <c r="J711" s="1"/>
      <c r="K711" s="91">
        <f>'BID II'!F2348</f>
        <v>56080000</v>
      </c>
      <c r="L711" s="4" t="s">
        <v>2571</v>
      </c>
    </row>
    <row r="712" spans="1:13" ht="60" x14ac:dyDescent="0.25">
      <c r="A712" s="1027">
        <v>2</v>
      </c>
      <c r="B712" s="1027">
        <v>3</v>
      </c>
      <c r="C712" s="1491" t="s">
        <v>2696</v>
      </c>
      <c r="D712" s="1027"/>
      <c r="E712" s="1027"/>
      <c r="F712" s="1027"/>
      <c r="G712" s="1027"/>
      <c r="H712" s="1028" t="str">
        <f>'BID II'!B2372</f>
        <v>Pemeliharaan Jalan Lingkungan Permukiman Gang Lotus Tembus Gang Pacah (URUGAN)</v>
      </c>
      <c r="I712" s="1027"/>
      <c r="J712" s="1027"/>
      <c r="K712" s="1492">
        <f>SUM(K713:K718)</f>
        <v>10848580</v>
      </c>
      <c r="L712" s="1027"/>
      <c r="M712">
        <f>'BID II'!F2395</f>
        <v>10848580</v>
      </c>
    </row>
    <row r="713" spans="1:13" x14ac:dyDescent="0.25">
      <c r="A713" s="1"/>
      <c r="B713" s="1"/>
      <c r="C713" s="1"/>
      <c r="D713" s="1">
        <v>5</v>
      </c>
      <c r="E713" s="1">
        <v>3</v>
      </c>
      <c r="F713" s="1"/>
      <c r="G713" s="1"/>
      <c r="H713" s="1" t="str">
        <f>'BID II'!B2379</f>
        <v xml:space="preserve">Belanja Modal </v>
      </c>
      <c r="I713" s="1"/>
      <c r="J713" s="1"/>
      <c r="K713" s="91"/>
      <c r="L713" s="1"/>
    </row>
    <row r="714" spans="1:13" x14ac:dyDescent="0.25">
      <c r="A714" s="1"/>
      <c r="B714" s="1"/>
      <c r="C714" s="1"/>
      <c r="D714" s="1"/>
      <c r="E714" s="1"/>
      <c r="F714" s="1">
        <v>5</v>
      </c>
      <c r="G714" s="1"/>
      <c r="H714" s="1" t="str">
        <f>'BID II'!B2380</f>
        <v>Belanja Modal Jalan</v>
      </c>
      <c r="I714" s="1"/>
      <c r="J714" s="1"/>
      <c r="K714" s="91"/>
      <c r="L714" s="1"/>
    </row>
    <row r="715" spans="1:13" ht="30" x14ac:dyDescent="0.25">
      <c r="A715" s="1"/>
      <c r="B715" s="1"/>
      <c r="C715" s="1"/>
      <c r="D715" s="1"/>
      <c r="E715" s="1"/>
      <c r="F715" s="1"/>
      <c r="G715" s="1488" t="s">
        <v>2679</v>
      </c>
      <c r="H715" s="4" t="str">
        <f>'BID II'!B2381</f>
        <v>Honorarium Tim Yang Melaksanakan Kegiatan</v>
      </c>
      <c r="I715" s="1"/>
      <c r="J715" s="1"/>
      <c r="K715" s="91">
        <f>'BID II'!F2383</f>
        <v>298580</v>
      </c>
      <c r="L715" s="4" t="s">
        <v>2571</v>
      </c>
    </row>
    <row r="716" spans="1:13" ht="30" x14ac:dyDescent="0.25">
      <c r="A716" s="1"/>
      <c r="B716" s="1"/>
      <c r="C716" s="1"/>
      <c r="D716" s="1"/>
      <c r="E716" s="1"/>
      <c r="F716" s="1"/>
      <c r="G716" s="1488" t="s">
        <v>2694</v>
      </c>
      <c r="H716" s="4" t="str">
        <f>'BID II'!B2384</f>
        <v>Belanja Upah</v>
      </c>
      <c r="I716" s="1"/>
      <c r="J716" s="1"/>
      <c r="K716" s="91">
        <f>'BID II'!F2386</f>
        <v>1300000</v>
      </c>
      <c r="L716" s="4" t="s">
        <v>2571</v>
      </c>
    </row>
    <row r="717" spans="1:13" ht="30" x14ac:dyDescent="0.25">
      <c r="A717" s="1"/>
      <c r="B717" s="1"/>
      <c r="C717" s="1"/>
      <c r="D717" s="1"/>
      <c r="E717" s="1"/>
      <c r="F717" s="1"/>
      <c r="G717" s="1488" t="s">
        <v>2696</v>
      </c>
      <c r="H717" s="4" t="str">
        <f>'BID II'!B2387</f>
        <v>Bahan Baku</v>
      </c>
      <c r="I717" s="1"/>
      <c r="J717" s="1"/>
      <c r="K717" s="91">
        <f>'BID II'!F2390</f>
        <v>7750000</v>
      </c>
      <c r="L717" s="4" t="s">
        <v>2571</v>
      </c>
    </row>
    <row r="718" spans="1:13" ht="30" x14ac:dyDescent="0.25">
      <c r="A718" s="1"/>
      <c r="B718" s="1"/>
      <c r="C718" s="1"/>
      <c r="D718" s="1"/>
      <c r="E718" s="1"/>
      <c r="F718" s="1"/>
      <c r="G718" s="1488" t="s">
        <v>2697</v>
      </c>
      <c r="H718" s="4" t="str">
        <f>'BID II'!B2391</f>
        <v>Jasa Sewa</v>
      </c>
      <c r="I718" s="1"/>
      <c r="J718" s="1"/>
      <c r="K718" s="91">
        <f>'BID II'!F2393</f>
        <v>1500000</v>
      </c>
      <c r="L718" s="4" t="s">
        <v>2571</v>
      </c>
    </row>
    <row r="719" spans="1:13" ht="60" x14ac:dyDescent="0.25">
      <c r="A719" s="1027">
        <v>2</v>
      </c>
      <c r="B719" s="1027">
        <v>3</v>
      </c>
      <c r="C719" s="1491" t="s">
        <v>2696</v>
      </c>
      <c r="D719" s="1027"/>
      <c r="E719" s="1027"/>
      <c r="F719" s="1027"/>
      <c r="G719" s="1027"/>
      <c r="H719" s="1028" t="str">
        <f>'BID II'!B2418</f>
        <v>Pemeliharaan Jalan Lingkungan Permukiman Gang Lotus Tembus Gang Pacah ( COR JALAN)</v>
      </c>
      <c r="I719" s="1027"/>
      <c r="J719" s="1027"/>
      <c r="K719" s="1492">
        <f>SUM(K720:K724)</f>
        <v>11837960</v>
      </c>
      <c r="L719" s="1492"/>
      <c r="M719" s="83">
        <f>'BID II'!F2440</f>
        <v>11837960</v>
      </c>
    </row>
    <row r="720" spans="1:13" x14ac:dyDescent="0.25">
      <c r="A720" s="1"/>
      <c r="B720" s="1"/>
      <c r="C720" s="1"/>
      <c r="D720" s="1">
        <v>5</v>
      </c>
      <c r="E720" s="1">
        <v>3</v>
      </c>
      <c r="F720" s="1"/>
      <c r="G720" s="1"/>
      <c r="H720" s="4" t="str">
        <f>'BID II'!B2425</f>
        <v xml:space="preserve">Belanja Modal </v>
      </c>
      <c r="I720" s="1"/>
      <c r="J720" s="1"/>
      <c r="K720" s="91"/>
      <c r="L720" s="1"/>
    </row>
    <row r="721" spans="1:13" x14ac:dyDescent="0.25">
      <c r="A721" s="1"/>
      <c r="B721" s="1"/>
      <c r="C721" s="1"/>
      <c r="D721" s="1"/>
      <c r="E721" s="1"/>
      <c r="F721" s="1">
        <v>5</v>
      </c>
      <c r="G721" s="1"/>
      <c r="H721" s="4" t="str">
        <f>'BID II'!B2426</f>
        <v>Belanja Modal Jalan</v>
      </c>
      <c r="I721" s="1"/>
      <c r="J721" s="1"/>
      <c r="K721" s="91"/>
      <c r="L721" s="1"/>
    </row>
    <row r="722" spans="1:13" ht="30" x14ac:dyDescent="0.25">
      <c r="A722" s="1"/>
      <c r="B722" s="1"/>
      <c r="C722" s="1"/>
      <c r="D722" s="1"/>
      <c r="E722" s="1"/>
      <c r="F722" s="1"/>
      <c r="G722" s="1488" t="s">
        <v>2679</v>
      </c>
      <c r="H722" s="4" t="str">
        <f>'BID II'!B2427</f>
        <v>Honorarium Tim Yang Melaksanakan Kegiatan</v>
      </c>
      <c r="I722" s="1"/>
      <c r="J722" s="1"/>
      <c r="K722" s="91">
        <f>'BID II'!F2429</f>
        <v>310960</v>
      </c>
      <c r="L722" s="1" t="s">
        <v>1845</v>
      </c>
    </row>
    <row r="723" spans="1:13" x14ac:dyDescent="0.25">
      <c r="A723" s="1"/>
      <c r="B723" s="1"/>
      <c r="C723" s="1"/>
      <c r="D723" s="1"/>
      <c r="E723" s="1"/>
      <c r="F723" s="1"/>
      <c r="G723" s="1488" t="s">
        <v>2694</v>
      </c>
      <c r="H723" s="1" t="str">
        <f>'BID II'!B2430</f>
        <v>Belanja Upah</v>
      </c>
      <c r="I723" s="1"/>
      <c r="J723" s="1"/>
      <c r="K723" s="91">
        <f>'BID II'!F2433</f>
        <v>1612000</v>
      </c>
      <c r="L723" s="1" t="s">
        <v>1845</v>
      </c>
    </row>
    <row r="724" spans="1:13" x14ac:dyDescent="0.25">
      <c r="A724" s="1"/>
      <c r="B724" s="1"/>
      <c r="C724" s="1"/>
      <c r="D724" s="1"/>
      <c r="E724" s="1"/>
      <c r="F724" s="1"/>
      <c r="G724" s="1488" t="s">
        <v>2696</v>
      </c>
      <c r="H724" s="1" t="str">
        <f>'BID II'!B2434</f>
        <v>Bahan Baku</v>
      </c>
      <c r="I724" s="1"/>
      <c r="J724" s="1"/>
      <c r="K724" s="91">
        <f>'BID II'!F2439</f>
        <v>9915000</v>
      </c>
      <c r="L724" s="1" t="s">
        <v>1845</v>
      </c>
    </row>
    <row r="725" spans="1:13" ht="75" x14ac:dyDescent="0.25">
      <c r="A725" s="1027">
        <v>2</v>
      </c>
      <c r="B725" s="1027">
        <v>3</v>
      </c>
      <c r="C725" s="1491" t="s">
        <v>2696</v>
      </c>
      <c r="D725" s="1027"/>
      <c r="E725" s="1027"/>
      <c r="F725" s="1027"/>
      <c r="G725" s="1027"/>
      <c r="H725" s="1028" t="str">
        <f>'BID II'!B2466</f>
        <v>Pemeliharaan Jalan Lingkungan Permukiman Gang Lotus Pembus Gang Pacah ( BEKISTING PONDASI)</v>
      </c>
      <c r="I725" s="1027"/>
      <c r="J725" s="1027"/>
      <c r="K725" s="1492">
        <f>SUM(K726:K730)</f>
        <v>5679060</v>
      </c>
      <c r="L725" s="1027"/>
      <c r="M725" s="83">
        <f>'BID II'!F2489</f>
        <v>5679060</v>
      </c>
    </row>
    <row r="726" spans="1:13" x14ac:dyDescent="0.25">
      <c r="A726" s="1"/>
      <c r="B726" s="1"/>
      <c r="C726" s="1"/>
      <c r="D726" s="1">
        <v>5</v>
      </c>
      <c r="E726" s="1">
        <v>3</v>
      </c>
      <c r="F726" s="1"/>
      <c r="G726" s="1"/>
      <c r="H726" s="4" t="str">
        <f>'BID II'!B2473</f>
        <v xml:space="preserve">Belanja Modal </v>
      </c>
      <c r="I726" s="1"/>
      <c r="J726" s="1"/>
      <c r="K726" s="91"/>
      <c r="L726" s="1"/>
    </row>
    <row r="727" spans="1:13" x14ac:dyDescent="0.25">
      <c r="A727" s="1"/>
      <c r="B727" s="1"/>
      <c r="C727" s="1"/>
      <c r="D727" s="1"/>
      <c r="E727" s="1"/>
      <c r="F727" s="1">
        <v>5</v>
      </c>
      <c r="G727" s="1"/>
      <c r="H727" s="4" t="str">
        <f>'BID II'!B2474</f>
        <v>Belanja Modal Jalan</v>
      </c>
      <c r="I727" s="1"/>
      <c r="J727" s="1"/>
      <c r="K727" s="91"/>
      <c r="L727" s="1"/>
    </row>
    <row r="728" spans="1:13" ht="30" x14ac:dyDescent="0.25">
      <c r="A728" s="1"/>
      <c r="B728" s="1"/>
      <c r="C728" s="1"/>
      <c r="D728" s="1"/>
      <c r="E728" s="1"/>
      <c r="F728" s="1"/>
      <c r="G728" s="1488" t="s">
        <v>2679</v>
      </c>
      <c r="H728" s="4" t="str">
        <f>'BID II'!B2475</f>
        <v>Honorarium Tim Yang Melaksanakan Kegiatan</v>
      </c>
      <c r="I728" s="1"/>
      <c r="J728" s="1"/>
      <c r="K728" s="91">
        <f>'BID II'!F2477</f>
        <v>181560</v>
      </c>
      <c r="L728" s="1" t="s">
        <v>1845</v>
      </c>
    </row>
    <row r="729" spans="1:13" x14ac:dyDescent="0.25">
      <c r="A729" s="1"/>
      <c r="B729" s="1"/>
      <c r="C729" s="1"/>
      <c r="D729" s="1"/>
      <c r="E729" s="1"/>
      <c r="F729" s="1"/>
      <c r="G729" s="1488" t="s">
        <v>2694</v>
      </c>
      <c r="H729" s="1" t="str">
        <f>'BID II'!B2478</f>
        <v>Belanja Upah</v>
      </c>
      <c r="I729" s="1"/>
      <c r="J729" s="1"/>
      <c r="K729" s="91">
        <f>'BID II'!F2481</f>
        <v>410000</v>
      </c>
      <c r="L729" s="1" t="s">
        <v>1845</v>
      </c>
    </row>
    <row r="730" spans="1:13" x14ac:dyDescent="0.25">
      <c r="A730" s="1"/>
      <c r="B730" s="1"/>
      <c r="C730" s="1"/>
      <c r="D730" s="1"/>
      <c r="E730" s="1"/>
      <c r="F730" s="1"/>
      <c r="G730" s="1488" t="s">
        <v>2696</v>
      </c>
      <c r="H730" s="1" t="str">
        <f>'BID II'!B2482</f>
        <v>Bahan Baku</v>
      </c>
      <c r="I730" s="1"/>
      <c r="J730" s="1"/>
      <c r="K730" s="91">
        <f>'BID II'!F2488</f>
        <v>5087500</v>
      </c>
      <c r="L730" s="1" t="s">
        <v>1845</v>
      </c>
    </row>
    <row r="731" spans="1:13" ht="75" x14ac:dyDescent="0.25">
      <c r="A731" s="1027">
        <v>2</v>
      </c>
      <c r="B731" s="1027">
        <v>3</v>
      </c>
      <c r="C731" s="1491" t="s">
        <v>2696</v>
      </c>
      <c r="D731" s="1027"/>
      <c r="E731" s="1027"/>
      <c r="F731" s="1027"/>
      <c r="G731" s="1027"/>
      <c r="H731" s="1028" t="str">
        <f>'BID II'!B2519</f>
        <v>Pemeliharaan Jalan Lingkungan Permukiman Gang Lotus Tembus Gang Pacah( BEKISTING PLAT TUTUP GOT)</v>
      </c>
      <c r="I731" s="1027"/>
      <c r="J731" s="1027"/>
      <c r="K731" s="1492">
        <f>SUM(K732:K736)</f>
        <v>4641400</v>
      </c>
      <c r="L731" s="1027"/>
      <c r="M731" s="83">
        <f>'BID II'!F2539</f>
        <v>4641400</v>
      </c>
    </row>
    <row r="732" spans="1:13" x14ac:dyDescent="0.25">
      <c r="A732" s="1"/>
      <c r="B732" s="1"/>
      <c r="C732" s="1"/>
      <c r="D732" s="1">
        <v>5</v>
      </c>
      <c r="E732" s="1">
        <v>3</v>
      </c>
      <c r="F732" s="1"/>
      <c r="G732" s="1"/>
      <c r="H732" s="1" t="str">
        <f>'BID II'!B2526</f>
        <v xml:space="preserve">Belanja Modal </v>
      </c>
      <c r="I732" s="1"/>
      <c r="J732" s="1"/>
      <c r="K732" s="91"/>
      <c r="L732" s="1"/>
    </row>
    <row r="733" spans="1:13" x14ac:dyDescent="0.25">
      <c r="A733" s="1"/>
      <c r="B733" s="1"/>
      <c r="C733" s="1"/>
      <c r="D733" s="1"/>
      <c r="E733" s="1"/>
      <c r="F733" s="1">
        <v>5</v>
      </c>
      <c r="G733" s="1"/>
      <c r="H733" s="1" t="str">
        <f>'BID II'!B2527</f>
        <v>Belanja Modal Jalan</v>
      </c>
      <c r="I733" s="1"/>
      <c r="J733" s="1"/>
      <c r="K733" s="91"/>
      <c r="L733" s="1"/>
    </row>
    <row r="734" spans="1:13" ht="30" x14ac:dyDescent="0.25">
      <c r="A734" s="1"/>
      <c r="B734" s="1"/>
      <c r="C734" s="1"/>
      <c r="D734" s="1"/>
      <c r="E734" s="1"/>
      <c r="F734" s="1"/>
      <c r="G734" s="1488" t="s">
        <v>2679</v>
      </c>
      <c r="H734" s="4" t="str">
        <f>'BID II'!B2528</f>
        <v>Honorarium Tim Yang Melaksanakan Kegiatan</v>
      </c>
      <c r="I734" s="1"/>
      <c r="J734" s="1"/>
      <c r="K734" s="91">
        <f>'BID II'!F2530</f>
        <v>16400</v>
      </c>
      <c r="L734" s="1" t="s">
        <v>1845</v>
      </c>
    </row>
    <row r="735" spans="1:13" x14ac:dyDescent="0.25">
      <c r="A735" s="1"/>
      <c r="B735" s="1"/>
      <c r="C735" s="1"/>
      <c r="D735" s="1"/>
      <c r="E735" s="1"/>
      <c r="F735" s="1"/>
      <c r="G735" s="1488" t="s">
        <v>2694</v>
      </c>
      <c r="H735" s="1" t="str">
        <f>'BID II'!B2531</f>
        <v>Belanja Upah</v>
      </c>
      <c r="I735" s="1"/>
      <c r="J735" s="1"/>
      <c r="K735" s="91">
        <f>'BID II'!F2534</f>
        <v>820000</v>
      </c>
      <c r="L735" s="1" t="s">
        <v>1845</v>
      </c>
    </row>
    <row r="736" spans="1:13" x14ac:dyDescent="0.25">
      <c r="A736" s="1"/>
      <c r="B736" s="1"/>
      <c r="C736" s="1"/>
      <c r="D736" s="1"/>
      <c r="E736" s="1"/>
      <c r="F736" s="1"/>
      <c r="G736" s="1488" t="s">
        <v>2696</v>
      </c>
      <c r="H736" s="1" t="str">
        <f>'BID II'!B2535</f>
        <v>Bahan Baku</v>
      </c>
      <c r="I736" s="1"/>
      <c r="J736" s="1"/>
      <c r="K736" s="91">
        <f>'BID II'!F2538</f>
        <v>3805000</v>
      </c>
      <c r="L736" s="1" t="s">
        <v>1845</v>
      </c>
    </row>
    <row r="737" spans="1:13" ht="60" x14ac:dyDescent="0.25">
      <c r="A737" s="1027">
        <v>2</v>
      </c>
      <c r="B737" s="1027">
        <v>3</v>
      </c>
      <c r="C737" s="1491" t="s">
        <v>2696</v>
      </c>
      <c r="D737" s="1027"/>
      <c r="E737" s="1027"/>
      <c r="F737" s="1027"/>
      <c r="G737" s="1027"/>
      <c r="H737" s="1028" t="str">
        <f>'BID II'!B2637</f>
        <v>Pemeliharaan Jalan Lingkungan Permukiman /Gang Sekar Sari III (Pemavingan)</v>
      </c>
      <c r="I737" s="1027"/>
      <c r="J737" s="1027"/>
      <c r="K737" s="1492">
        <f>SUM(K738:K742)</f>
        <v>76958000</v>
      </c>
      <c r="L737" s="1027"/>
      <c r="M737" s="83">
        <f>'BID II'!F2662</f>
        <v>76958000</v>
      </c>
    </row>
    <row r="738" spans="1:13" x14ac:dyDescent="0.25">
      <c r="A738" s="1"/>
      <c r="B738" s="1"/>
      <c r="C738" s="1"/>
      <c r="D738" s="1">
        <v>5</v>
      </c>
      <c r="E738" s="1">
        <v>3</v>
      </c>
      <c r="F738" s="1"/>
      <c r="G738" s="1"/>
      <c r="H738" s="4" t="str">
        <f>'BID II'!B2644</f>
        <v xml:space="preserve">Belanja Modal </v>
      </c>
      <c r="I738" s="1"/>
      <c r="J738" s="1"/>
      <c r="K738" s="91"/>
      <c r="L738" s="1"/>
    </row>
    <row r="739" spans="1:13" x14ac:dyDescent="0.25">
      <c r="A739" s="1"/>
      <c r="B739" s="1"/>
      <c r="C739" s="1"/>
      <c r="D739" s="1"/>
      <c r="E739" s="1"/>
      <c r="F739" s="1">
        <v>5</v>
      </c>
      <c r="G739" s="1"/>
      <c r="H739" s="4" t="str">
        <f>'BID II'!B2645</f>
        <v>Belanja Modal Jalan</v>
      </c>
      <c r="I739" s="1"/>
      <c r="J739" s="1"/>
      <c r="K739" s="91"/>
      <c r="L739" s="1"/>
    </row>
    <row r="740" spans="1:13" ht="30" x14ac:dyDescent="0.25">
      <c r="A740" s="1"/>
      <c r="B740" s="1"/>
      <c r="C740" s="1"/>
      <c r="D740" s="1"/>
      <c r="E740" s="1"/>
      <c r="F740" s="1"/>
      <c r="G740" s="1488" t="s">
        <v>2679</v>
      </c>
      <c r="H740" s="4" t="str">
        <f>'BID II'!B2646</f>
        <v>Honorarium Tim Yang Melaksanakan Kegiatan</v>
      </c>
      <c r="I740" s="1"/>
      <c r="J740" s="1"/>
      <c r="K740" s="91">
        <f>'BID II'!F2648</f>
        <v>1500000</v>
      </c>
      <c r="L740" s="4" t="s">
        <v>2571</v>
      </c>
    </row>
    <row r="741" spans="1:13" ht="30" x14ac:dyDescent="0.25">
      <c r="A741" s="1"/>
      <c r="B741" s="1"/>
      <c r="C741" s="1"/>
      <c r="D741" s="1"/>
      <c r="E741" s="1"/>
      <c r="F741" s="1"/>
      <c r="G741" s="1488" t="s">
        <v>2694</v>
      </c>
      <c r="H741" s="1" t="str">
        <f>'BID II'!B2649</f>
        <v>Belanja Upah</v>
      </c>
      <c r="I741" s="1"/>
      <c r="J741" s="1"/>
      <c r="K741" s="91">
        <f>'BID II'!F2652</f>
        <v>12300000</v>
      </c>
      <c r="L741" s="4" t="s">
        <v>2571</v>
      </c>
    </row>
    <row r="742" spans="1:13" ht="30" x14ac:dyDescent="0.25">
      <c r="A742" s="1"/>
      <c r="B742" s="1"/>
      <c r="C742" s="1"/>
      <c r="D742" s="1"/>
      <c r="E742" s="1"/>
      <c r="F742" s="1"/>
      <c r="G742" s="1488" t="s">
        <v>2696</v>
      </c>
      <c r="H742" s="1" t="str">
        <f>'BID II'!B2653</f>
        <v>Bahan Baku</v>
      </c>
      <c r="I742" s="1"/>
      <c r="J742" s="1"/>
      <c r="K742" s="91">
        <f>'BID II'!F2661</f>
        <v>63158000</v>
      </c>
      <c r="L742" s="4" t="s">
        <v>2571</v>
      </c>
    </row>
    <row r="743" spans="1:13" ht="60" x14ac:dyDescent="0.25">
      <c r="A743" s="1027">
        <v>2</v>
      </c>
      <c r="B743" s="1027">
        <v>3</v>
      </c>
      <c r="C743" s="1491" t="s">
        <v>2696</v>
      </c>
      <c r="D743" s="1027"/>
      <c r="E743" s="1027"/>
      <c r="F743" s="1027"/>
      <c r="G743" s="1027"/>
      <c r="H743" s="1028" t="str">
        <f>'BID II'!B2675</f>
        <v>Pemeliharaan Jalan Lingkungan Permukiman /Gang Sekar Sari III (Beton Pengunci)</v>
      </c>
      <c r="I743" s="1027"/>
      <c r="J743" s="1027"/>
      <c r="K743" s="1492">
        <f>SUM(K744:K748)</f>
        <v>21529000</v>
      </c>
      <c r="L743" s="1492"/>
      <c r="M743" s="83">
        <f>'BID II'!F2697</f>
        <v>21529000</v>
      </c>
    </row>
    <row r="744" spans="1:13" x14ac:dyDescent="0.25">
      <c r="A744" s="1"/>
      <c r="B744" s="1"/>
      <c r="C744" s="1"/>
      <c r="D744" s="1">
        <v>5</v>
      </c>
      <c r="E744" s="1">
        <v>3</v>
      </c>
      <c r="F744" s="1"/>
      <c r="G744" s="1"/>
      <c r="H744" s="1" t="str">
        <f>'BID II'!B2682</f>
        <v xml:space="preserve">Belanja Modal </v>
      </c>
      <c r="I744" s="1"/>
      <c r="J744" s="1"/>
      <c r="K744" s="91"/>
      <c r="L744" s="1"/>
    </row>
    <row r="745" spans="1:13" x14ac:dyDescent="0.25">
      <c r="A745" s="1"/>
      <c r="B745" s="1"/>
      <c r="C745" s="1"/>
      <c r="D745" s="1"/>
      <c r="E745" s="1"/>
      <c r="F745" s="1">
        <v>5</v>
      </c>
      <c r="G745" s="1"/>
      <c r="H745" s="1" t="str">
        <f>'BID II'!B2683</f>
        <v>Belanja Modal Jalan</v>
      </c>
      <c r="I745" s="1"/>
      <c r="J745" s="1"/>
      <c r="K745" s="91"/>
      <c r="L745" s="1"/>
    </row>
    <row r="746" spans="1:13" ht="30" x14ac:dyDescent="0.25">
      <c r="A746" s="1"/>
      <c r="B746" s="1"/>
      <c r="C746" s="1"/>
      <c r="D746" s="1"/>
      <c r="E746" s="1"/>
      <c r="F746" s="1"/>
      <c r="G746" s="1488" t="s">
        <v>2679</v>
      </c>
      <c r="H746" s="4" t="str">
        <f>'BID II'!B2684</f>
        <v>Honorarium Tim Yang Melaksanakan Kegiatan</v>
      </c>
      <c r="I746" s="1"/>
      <c r="J746" s="1"/>
      <c r="K746" s="91">
        <f>'BID II'!F2686</f>
        <v>420000</v>
      </c>
      <c r="L746" s="4" t="s">
        <v>2571</v>
      </c>
    </row>
    <row r="747" spans="1:13" ht="30" x14ac:dyDescent="0.25">
      <c r="A747" s="1"/>
      <c r="B747" s="1"/>
      <c r="C747" s="1"/>
      <c r="D747" s="1"/>
      <c r="E747" s="1"/>
      <c r="F747" s="1"/>
      <c r="G747" s="1488" t="s">
        <v>2694</v>
      </c>
      <c r="H747" s="1" t="str">
        <f>'BID II'!B2687</f>
        <v>Belanja Upah</v>
      </c>
      <c r="I747" s="1"/>
      <c r="J747" s="1"/>
      <c r="K747" s="91">
        <f>'BID II'!F2690</f>
        <v>9560000</v>
      </c>
      <c r="L747" s="4" t="s">
        <v>2571</v>
      </c>
    </row>
    <row r="748" spans="1:13" ht="30" x14ac:dyDescent="0.25">
      <c r="A748" s="1"/>
      <c r="B748" s="1"/>
      <c r="C748" s="1"/>
      <c r="D748" s="1"/>
      <c r="E748" s="1"/>
      <c r="F748" s="1"/>
      <c r="G748" s="1488" t="s">
        <v>2696</v>
      </c>
      <c r="H748" s="1" t="str">
        <f>'BID II'!B2691</f>
        <v>Bahan Baku</v>
      </c>
      <c r="I748" s="1"/>
      <c r="J748" s="1"/>
      <c r="K748" s="91">
        <f>'BID II'!F2696</f>
        <v>11549000</v>
      </c>
      <c r="L748" s="4" t="s">
        <v>2571</v>
      </c>
    </row>
    <row r="749" spans="1:13" ht="60" x14ac:dyDescent="0.25">
      <c r="A749" s="1027">
        <v>2</v>
      </c>
      <c r="B749" s="1027">
        <v>3</v>
      </c>
      <c r="C749" s="1491" t="s">
        <v>2694</v>
      </c>
      <c r="D749" s="1027"/>
      <c r="E749" s="1027"/>
      <c r="F749" s="1027"/>
      <c r="G749" s="1027"/>
      <c r="H749" s="1028" t="str">
        <f>'BID II'!B2711</f>
        <v>: Pemeliharaan Jalan Usaha Tani (Perbaikan Subak Temaga Munduk Pengiu pembersihan site)</v>
      </c>
      <c r="I749" s="1027"/>
      <c r="J749" s="1027"/>
      <c r="K749" s="1492">
        <f>SUM(K750:K753)</f>
        <v>3203200</v>
      </c>
      <c r="L749" s="1027"/>
      <c r="M749">
        <f>'BID II'!F2727</f>
        <v>3203200</v>
      </c>
    </row>
    <row r="750" spans="1:13" x14ac:dyDescent="0.25">
      <c r="A750" s="1"/>
      <c r="B750" s="1"/>
      <c r="C750" s="1"/>
      <c r="D750" s="1">
        <v>5</v>
      </c>
      <c r="E750" s="1">
        <v>3</v>
      </c>
      <c r="F750" s="1"/>
      <c r="G750" s="1"/>
      <c r="H750" s="4" t="str">
        <f>'BID II'!B2718</f>
        <v xml:space="preserve">Belanja Modal </v>
      </c>
      <c r="I750" s="1"/>
      <c r="J750" s="1"/>
      <c r="K750" s="91"/>
      <c r="L750" s="1"/>
    </row>
    <row r="751" spans="1:13" x14ac:dyDescent="0.25">
      <c r="A751" s="1"/>
      <c r="B751" s="1"/>
      <c r="C751" s="1"/>
      <c r="D751" s="1"/>
      <c r="E751" s="1"/>
      <c r="F751" s="1">
        <v>5</v>
      </c>
      <c r="G751" s="1"/>
      <c r="H751" s="4" t="str">
        <f>'BID II'!B2719</f>
        <v>Belanja Modal Jalan</v>
      </c>
      <c r="I751" s="1"/>
      <c r="J751" s="1"/>
      <c r="K751" s="91"/>
      <c r="L751" s="1"/>
    </row>
    <row r="752" spans="1:13" ht="30" x14ac:dyDescent="0.25">
      <c r="A752" s="1"/>
      <c r="B752" s="1"/>
      <c r="C752" s="1"/>
      <c r="D752" s="1"/>
      <c r="E752" s="1"/>
      <c r="F752" s="1"/>
      <c r="G752" s="1488" t="s">
        <v>2679</v>
      </c>
      <c r="H752" s="4" t="str">
        <f>'BID II'!B2720</f>
        <v>Honorarium Tim Yang Melaksanakan Kegiatan</v>
      </c>
      <c r="I752" s="1"/>
      <c r="J752" s="1"/>
      <c r="K752" s="91">
        <f>'BID II'!F2722</f>
        <v>83200</v>
      </c>
      <c r="L752" s="1" t="s">
        <v>1711</v>
      </c>
    </row>
    <row r="753" spans="1:13" x14ac:dyDescent="0.25">
      <c r="A753" s="1"/>
      <c r="B753" s="1"/>
      <c r="C753" s="1"/>
      <c r="D753" s="1"/>
      <c r="E753" s="1"/>
      <c r="F753" s="1"/>
      <c r="G753" s="1488" t="s">
        <v>2694</v>
      </c>
      <c r="H753" s="1" t="str">
        <f>'BID II'!B2723</f>
        <v>Belanja Upah</v>
      </c>
      <c r="I753" s="1"/>
      <c r="J753" s="1"/>
      <c r="K753" s="91">
        <f>'BID II'!F2725</f>
        <v>3120000</v>
      </c>
      <c r="L753" s="1" t="s">
        <v>1711</v>
      </c>
    </row>
    <row r="754" spans="1:13" ht="60" x14ac:dyDescent="0.25">
      <c r="A754" s="1027">
        <v>2</v>
      </c>
      <c r="B754" s="1027">
        <v>3</v>
      </c>
      <c r="C754" s="1491" t="s">
        <v>2694</v>
      </c>
      <c r="D754" s="1027"/>
      <c r="E754" s="1027"/>
      <c r="F754" s="1027"/>
      <c r="G754" s="1027"/>
      <c r="H754" s="1028" t="str">
        <f>'BID II'!B2743</f>
        <v>: Pemeliharaan Jalan Usaha Tani (Perbaikan Subak Temaga Munduk Pengiu PEMAVINGAN)</v>
      </c>
      <c r="I754" s="1027"/>
      <c r="J754" s="1027"/>
      <c r="K754" s="1492">
        <f>SUM(K755:K759)</f>
        <v>29551000</v>
      </c>
      <c r="L754" s="1027"/>
      <c r="M754" s="83">
        <f>'BID II'!F2768</f>
        <v>29551000</v>
      </c>
    </row>
    <row r="755" spans="1:13" x14ac:dyDescent="0.25">
      <c r="A755" s="1"/>
      <c r="B755" s="1"/>
      <c r="C755" s="1"/>
      <c r="D755" s="1">
        <v>5</v>
      </c>
      <c r="E755" s="1">
        <v>3</v>
      </c>
      <c r="F755" s="1"/>
      <c r="G755" s="1"/>
      <c r="H755" s="4" t="str">
        <f>'BID II'!B2750</f>
        <v xml:space="preserve">Belanja Modal </v>
      </c>
      <c r="I755" s="1"/>
      <c r="J755" s="1"/>
      <c r="K755" s="91"/>
      <c r="L755" s="1"/>
    </row>
    <row r="756" spans="1:13" x14ac:dyDescent="0.25">
      <c r="A756" s="1"/>
      <c r="B756" s="1"/>
      <c r="C756" s="1"/>
      <c r="D756" s="1"/>
      <c r="E756" s="1"/>
      <c r="F756" s="1">
        <v>5</v>
      </c>
      <c r="G756" s="1"/>
      <c r="H756" s="4" t="str">
        <f>'BID II'!B2751</f>
        <v>Belanja Modal Jalan</v>
      </c>
      <c r="I756" s="1"/>
      <c r="J756" s="1"/>
      <c r="K756" s="91"/>
      <c r="L756" s="1"/>
    </row>
    <row r="757" spans="1:13" ht="30" x14ac:dyDescent="0.25">
      <c r="A757" s="1"/>
      <c r="B757" s="1"/>
      <c r="C757" s="1"/>
      <c r="D757" s="1"/>
      <c r="E757" s="1"/>
      <c r="F757" s="1"/>
      <c r="G757" s="1488" t="s">
        <v>2679</v>
      </c>
      <c r="H757" s="4" t="str">
        <f>'BID II'!B2752</f>
        <v>Honorarium Tim Yang Melaksanakan Kegiatan</v>
      </c>
      <c r="I757" s="1"/>
      <c r="J757" s="1"/>
      <c r="K757" s="91">
        <f>'BID II'!F2755</f>
        <v>700000</v>
      </c>
      <c r="L757" s="1" t="s">
        <v>1711</v>
      </c>
    </row>
    <row r="758" spans="1:13" x14ac:dyDescent="0.25">
      <c r="A758" s="1"/>
      <c r="B758" s="1"/>
      <c r="C758" s="1"/>
      <c r="D758" s="1"/>
      <c r="E758" s="1"/>
      <c r="F758" s="1"/>
      <c r="G758" s="1488" t="s">
        <v>2694</v>
      </c>
      <c r="H758" s="1" t="str">
        <f>'BID II'!B2756</f>
        <v>Belanja Upah</v>
      </c>
      <c r="I758" s="1"/>
      <c r="J758" s="1"/>
      <c r="K758" s="91">
        <f>'BID II'!F2759</f>
        <v>4920000</v>
      </c>
      <c r="L758" s="1" t="s">
        <v>1711</v>
      </c>
    </row>
    <row r="759" spans="1:13" x14ac:dyDescent="0.25">
      <c r="A759" s="1"/>
      <c r="B759" s="1"/>
      <c r="C759" s="1"/>
      <c r="D759" s="1"/>
      <c r="E759" s="1"/>
      <c r="F759" s="1"/>
      <c r="G759" s="1488" t="s">
        <v>2696</v>
      </c>
      <c r="H759" s="1" t="str">
        <f>'BID II'!B2760</f>
        <v>Bahan Baku</v>
      </c>
      <c r="I759" s="1"/>
      <c r="J759" s="1"/>
      <c r="K759" s="91">
        <f>'BID II'!F2767</f>
        <v>23931000</v>
      </c>
      <c r="L759" s="1" t="s">
        <v>1711</v>
      </c>
    </row>
    <row r="760" spans="1:13" ht="30" x14ac:dyDescent="0.25">
      <c r="A760" s="1027">
        <v>2</v>
      </c>
      <c r="B760" s="1027">
        <v>4</v>
      </c>
      <c r="C760" s="1491" t="s">
        <v>2701</v>
      </c>
      <c r="D760" s="1027"/>
      <c r="E760" s="1027"/>
      <c r="F760" s="1027"/>
      <c r="G760" s="1027"/>
      <c r="H760" s="1028" t="str">
        <f>'BID II'!B2784</f>
        <v>: Kegiatan Pengelolaan Sampah Tingkat Desa</v>
      </c>
      <c r="I760" s="1027"/>
      <c r="J760" s="1027"/>
      <c r="K760" s="1492">
        <f>SUM(K761:K772)</f>
        <v>524669000</v>
      </c>
      <c r="L760" s="1492"/>
      <c r="M760" s="83">
        <f>'BID II'!F2851</f>
        <v>524669000</v>
      </c>
    </row>
    <row r="761" spans="1:13" x14ac:dyDescent="0.25">
      <c r="A761" s="1"/>
      <c r="B761" s="1"/>
      <c r="C761" s="1"/>
      <c r="D761" s="1">
        <v>5</v>
      </c>
      <c r="E761" s="1">
        <v>2</v>
      </c>
      <c r="F761" s="1"/>
      <c r="G761" s="1"/>
      <c r="H761" s="4" t="str">
        <f>'BID II'!B2789</f>
        <v xml:space="preserve">Belanja Barang dan Jasa </v>
      </c>
      <c r="I761" s="1"/>
      <c r="J761" s="1"/>
      <c r="K761" s="91"/>
      <c r="L761" s="1"/>
      <c r="M761" s="32">
        <f>M760-K760</f>
        <v>0</v>
      </c>
    </row>
    <row r="762" spans="1:13" ht="30" x14ac:dyDescent="0.25">
      <c r="A762" s="1"/>
      <c r="B762" s="1"/>
      <c r="C762" s="1"/>
      <c r="D762" s="1"/>
      <c r="E762" s="1"/>
      <c r="F762" s="1">
        <v>1</v>
      </c>
      <c r="G762" s="1"/>
      <c r="H762" s="4" t="str">
        <f>'BID II'!B2790</f>
        <v>Belanja Barang Perlengkapan</v>
      </c>
      <c r="I762" s="1"/>
      <c r="J762" s="1"/>
      <c r="K762" s="91"/>
      <c r="L762" s="1"/>
    </row>
    <row r="763" spans="1:13" ht="60" x14ac:dyDescent="0.25">
      <c r="A763" s="1"/>
      <c r="B763" s="1"/>
      <c r="C763" s="1"/>
      <c r="D763" s="1"/>
      <c r="E763" s="1"/>
      <c r="F763" s="1"/>
      <c r="G763" s="1488" t="s">
        <v>2697</v>
      </c>
      <c r="H763" s="4" t="str">
        <f>'BID II'!B2791</f>
        <v>Belanja Bahan Bakar Minyak/ Gas/ Isi Ulang Tabung Pemadam Kebakaran</v>
      </c>
      <c r="I763" s="1"/>
      <c r="J763" s="1"/>
      <c r="K763" s="91">
        <f>SUM('BID II'!F2792:F2796)</f>
        <v>109800000</v>
      </c>
      <c r="L763" s="4" t="s">
        <v>2710</v>
      </c>
    </row>
    <row r="764" spans="1:13" ht="30" x14ac:dyDescent="0.25">
      <c r="A764" s="1"/>
      <c r="B764" s="1"/>
      <c r="C764" s="1"/>
      <c r="D764" s="1"/>
      <c r="E764" s="1"/>
      <c r="F764" s="1"/>
      <c r="G764" s="1488" t="s">
        <v>2699</v>
      </c>
      <c r="H764" s="4" t="str">
        <f>'BID II'!B2797</f>
        <v>Belanja Perlengkapan Cetak</v>
      </c>
      <c r="I764" s="1"/>
      <c r="J764" s="1"/>
      <c r="K764" s="91">
        <f>SUM('BID II'!F2798:F2800)</f>
        <v>6950000</v>
      </c>
      <c r="L764" s="4" t="s">
        <v>1409</v>
      </c>
    </row>
    <row r="765" spans="1:13" ht="30" x14ac:dyDescent="0.25">
      <c r="A765" s="1"/>
      <c r="B765" s="1"/>
      <c r="C765" s="1"/>
      <c r="D765" s="1"/>
      <c r="E765" s="1"/>
      <c r="F765" s="1"/>
      <c r="G765" s="1488" t="s">
        <v>2701</v>
      </c>
      <c r="H765" s="4" t="str">
        <f>'BID II'!B2801</f>
        <v>Belanja Bahan Dan Alat</v>
      </c>
      <c r="I765" s="1"/>
      <c r="J765" s="1"/>
      <c r="K765" s="91">
        <f>SUM('BID II'!F2802:F2812)</f>
        <v>78769000</v>
      </c>
      <c r="L765" s="4" t="s">
        <v>2709</v>
      </c>
    </row>
    <row r="766" spans="1:13" ht="30" x14ac:dyDescent="0.25">
      <c r="A766" s="1"/>
      <c r="B766" s="1"/>
      <c r="C766" s="1"/>
      <c r="D766" s="1"/>
      <c r="E766" s="1"/>
      <c r="F766" s="1"/>
      <c r="G766" s="1">
        <v>90</v>
      </c>
      <c r="H766" s="4" t="str">
        <f>'BID II'!B2813</f>
        <v>Belanja Upakara, Upacara dan aci</v>
      </c>
      <c r="I766" s="1"/>
      <c r="J766" s="1"/>
      <c r="K766" s="91">
        <f>SUM('BID II'!F2815:F2821)</f>
        <v>9895000</v>
      </c>
      <c r="L766" s="1" t="s">
        <v>1409</v>
      </c>
    </row>
    <row r="767" spans="1:13" x14ac:dyDescent="0.25">
      <c r="A767" s="1"/>
      <c r="B767" s="1"/>
      <c r="C767" s="1"/>
      <c r="D767" s="1">
        <v>5</v>
      </c>
      <c r="E767" s="1">
        <v>2</v>
      </c>
      <c r="F767" s="1">
        <v>2</v>
      </c>
      <c r="G767" s="1"/>
      <c r="H767" s="4" t="str">
        <f>'BID II'!B2822</f>
        <v>Belanja Honorarium</v>
      </c>
      <c r="I767" s="1"/>
      <c r="J767" s="1"/>
      <c r="K767" s="91"/>
      <c r="L767" s="1"/>
    </row>
    <row r="768" spans="1:13" ht="45" x14ac:dyDescent="0.25">
      <c r="A768" s="1"/>
      <c r="B768" s="1"/>
      <c r="C768" s="1"/>
      <c r="D768" s="1"/>
      <c r="E768" s="1"/>
      <c r="F768" s="1"/>
      <c r="G768" s="1488" t="s">
        <v>2699</v>
      </c>
      <c r="H768" s="4" t="str">
        <f>'BID II'!B2823</f>
        <v>Belanja Honorarium Petugas</v>
      </c>
      <c r="I768" s="1"/>
      <c r="J768" s="1"/>
      <c r="K768" s="91">
        <f>SUM('BID II'!F2824:F2829)</f>
        <v>218400000</v>
      </c>
      <c r="L768" s="4" t="s">
        <v>2710</v>
      </c>
    </row>
    <row r="769" spans="1:13" ht="30" x14ac:dyDescent="0.25">
      <c r="A769" s="1"/>
      <c r="B769" s="1"/>
      <c r="C769" s="1"/>
      <c r="D769" s="1">
        <v>5</v>
      </c>
      <c r="E769" s="1">
        <v>2</v>
      </c>
      <c r="F769" s="1">
        <v>5</v>
      </c>
      <c r="G769" s="1"/>
      <c r="H769" s="4" t="str">
        <f>'BID II'!B2830</f>
        <v>Belanja Operasional Pekantoran</v>
      </c>
      <c r="I769" s="1"/>
      <c r="J769" s="1"/>
      <c r="K769" s="91"/>
      <c r="L769" s="1"/>
    </row>
    <row r="770" spans="1:13" ht="30" x14ac:dyDescent="0.25">
      <c r="A770" s="1"/>
      <c r="B770" s="1"/>
      <c r="C770" s="1"/>
      <c r="D770" s="1"/>
      <c r="E770" s="1"/>
      <c r="F770" s="1"/>
      <c r="G770" s="1488" t="s">
        <v>2701</v>
      </c>
      <c r="H770" s="4" t="str">
        <f>'BID II'!B2831</f>
        <v>Belanja Berpanjang Ijin/Pajak</v>
      </c>
      <c r="I770" s="1"/>
      <c r="J770" s="1"/>
      <c r="K770" s="91">
        <f>SUM('BID II'!F2832:F2835)</f>
        <v>19135000</v>
      </c>
      <c r="L770" s="4" t="s">
        <v>2711</v>
      </c>
    </row>
    <row r="771" spans="1:13" ht="45" x14ac:dyDescent="0.25">
      <c r="A771" s="1"/>
      <c r="B771" s="1"/>
      <c r="C771" s="1"/>
      <c r="D771" s="1">
        <v>5</v>
      </c>
      <c r="E771" s="1">
        <v>2</v>
      </c>
      <c r="F771" s="1">
        <v>6</v>
      </c>
      <c r="G771" s="1488" t="s">
        <v>2679</v>
      </c>
      <c r="H771" s="4" t="str">
        <f>'BID II'!B2837</f>
        <v>Belanja Pemeliharaan Mesin Dan Peralatan Berat</v>
      </c>
      <c r="I771" s="1"/>
      <c r="J771" s="1"/>
      <c r="K771" s="91">
        <f>SUM('BID II'!F2838:F2839)</f>
        <v>9000000</v>
      </c>
      <c r="L771" s="1" t="s">
        <v>1409</v>
      </c>
    </row>
    <row r="772" spans="1:13" ht="30" x14ac:dyDescent="0.25">
      <c r="A772" s="1"/>
      <c r="B772" s="1"/>
      <c r="C772" s="1"/>
      <c r="D772" s="1"/>
      <c r="E772" s="1"/>
      <c r="F772" s="1"/>
      <c r="G772" s="1488" t="s">
        <v>2694</v>
      </c>
      <c r="H772" s="4" t="str">
        <f>'BID II'!B2840</f>
        <v>Belanja Pemeliharaan Kendaraan Bermotor</v>
      </c>
      <c r="I772" s="1"/>
      <c r="J772" s="1"/>
      <c r="K772" s="91">
        <f>SUM('BID II'!F2841:F2849)</f>
        <v>72720000</v>
      </c>
      <c r="L772" s="1" t="s">
        <v>1409</v>
      </c>
    </row>
    <row r="773" spans="1:13" ht="45" x14ac:dyDescent="0.25">
      <c r="A773" s="1027">
        <v>2</v>
      </c>
      <c r="B773" s="1027">
        <v>4</v>
      </c>
      <c r="C773" s="1491" t="s">
        <v>2701</v>
      </c>
      <c r="D773" s="1027"/>
      <c r="E773" s="1027"/>
      <c r="F773" s="1027"/>
      <c r="G773" s="1027"/>
      <c r="H773" s="1028" t="str">
        <f>'BID II'!B2866</f>
        <v>: Kegiatan Pengelolaan Sampah Tingkat Desa (Oprasional TPS3R)</v>
      </c>
      <c r="I773" s="1027"/>
      <c r="J773" s="1027"/>
      <c r="K773" s="1492">
        <f>SUM(K774:K790)</f>
        <v>185773100</v>
      </c>
      <c r="L773" s="1492"/>
      <c r="M773" s="83">
        <f>'BID II'!F2927</f>
        <v>185773100</v>
      </c>
    </row>
    <row r="774" spans="1:13" x14ac:dyDescent="0.25">
      <c r="A774" s="1"/>
      <c r="B774" s="1"/>
      <c r="C774" s="1"/>
      <c r="D774" s="1">
        <v>5</v>
      </c>
      <c r="E774" s="1">
        <v>2</v>
      </c>
      <c r="F774" s="1"/>
      <c r="G774" s="1"/>
      <c r="H774" s="4" t="str">
        <f>'BID II'!B2871</f>
        <v>Belanja Barang Jasa</v>
      </c>
      <c r="I774" s="1"/>
      <c r="J774" s="1"/>
      <c r="K774" s="91"/>
      <c r="L774" s="91"/>
      <c r="M774" s="83">
        <f>K773-M773</f>
        <v>0</v>
      </c>
    </row>
    <row r="775" spans="1:13" ht="30" x14ac:dyDescent="0.25">
      <c r="A775" s="1"/>
      <c r="B775" s="1"/>
      <c r="C775" s="1"/>
      <c r="D775" s="1"/>
      <c r="E775" s="1"/>
      <c r="F775" s="1">
        <v>1</v>
      </c>
      <c r="G775" s="1"/>
      <c r="H775" s="4" t="str">
        <f>'BID II'!B2872</f>
        <v>Belanja Barang Perlengkapan</v>
      </c>
      <c r="I775" s="1"/>
      <c r="J775" s="1"/>
      <c r="K775" s="91"/>
      <c r="L775" s="1"/>
    </row>
    <row r="776" spans="1:13" ht="30" x14ac:dyDescent="0.25">
      <c r="A776" s="1"/>
      <c r="B776" s="1"/>
      <c r="C776" s="1"/>
      <c r="D776" s="1"/>
      <c r="E776" s="1"/>
      <c r="F776" s="1"/>
      <c r="G776" s="1488" t="s">
        <v>2679</v>
      </c>
      <c r="H776" s="4" t="str">
        <f>'BID II'!B2873</f>
        <v>Belanja Perlengkapan Alat Tulis Kantor</v>
      </c>
      <c r="I776" s="1"/>
      <c r="J776" s="1"/>
      <c r="K776" s="91">
        <f>SUM('BID II'!F2874:F2876)</f>
        <v>454400</v>
      </c>
      <c r="L776" s="1" t="s">
        <v>1409</v>
      </c>
    </row>
    <row r="777" spans="1:13" ht="60" x14ac:dyDescent="0.25">
      <c r="A777" s="1"/>
      <c r="B777" s="1"/>
      <c r="C777" s="1"/>
      <c r="D777" s="1"/>
      <c r="E777" s="1"/>
      <c r="F777" s="1"/>
      <c r="G777" s="1488" t="s">
        <v>2697</v>
      </c>
      <c r="H777" s="4" t="str">
        <f>'BID II'!B2877</f>
        <v>Belanja Bahan Bakar Minyak/Gas/Isi Ulang Tabung Pemadam Kebakaran</v>
      </c>
      <c r="I777" s="1"/>
      <c r="J777" s="1"/>
      <c r="K777" s="91">
        <f>SUM('BID II'!F2878:F2879)</f>
        <v>9240000</v>
      </c>
      <c r="L777" s="1" t="s">
        <v>1409</v>
      </c>
    </row>
    <row r="778" spans="1:13" ht="60" x14ac:dyDescent="0.25">
      <c r="A778" s="1"/>
      <c r="B778" s="1"/>
      <c r="C778" s="1"/>
      <c r="D778" s="1"/>
      <c r="E778" s="1"/>
      <c r="F778" s="1"/>
      <c r="G778" s="1488" t="s">
        <v>2696</v>
      </c>
      <c r="H778" s="4" t="str">
        <f>'BID II'!B2880</f>
        <v>Belanja Perlengkapan Alat-alat Rumah Tangga/Peralatan dan Bahan Kebersihan</v>
      </c>
      <c r="I778" s="1"/>
      <c r="J778" s="1"/>
      <c r="K778" s="91">
        <f>SUM('BID II'!F2881:F2889)</f>
        <v>2737200</v>
      </c>
      <c r="L778" s="1" t="s">
        <v>1409</v>
      </c>
    </row>
    <row r="779" spans="1:13" ht="30" x14ac:dyDescent="0.25">
      <c r="A779" s="1"/>
      <c r="B779" s="1"/>
      <c r="C779" s="1"/>
      <c r="D779" s="1"/>
      <c r="E779" s="1"/>
      <c r="F779" s="1"/>
      <c r="G779" s="1">
        <v>90</v>
      </c>
      <c r="H779" s="4" t="str">
        <f>'BID II'!B2890</f>
        <v>Belanja Upakara, Upacara dan Aci aci</v>
      </c>
      <c r="I779" s="1"/>
      <c r="J779" s="1"/>
      <c r="K779" s="91">
        <f>SUM('BID II'!F2891:F2896)</f>
        <v>8095000</v>
      </c>
      <c r="L779" s="1" t="s">
        <v>1409</v>
      </c>
    </row>
    <row r="780" spans="1:13" x14ac:dyDescent="0.25">
      <c r="A780" s="1"/>
      <c r="B780" s="1"/>
      <c r="C780" s="1"/>
      <c r="D780" s="1"/>
      <c r="E780" s="1"/>
      <c r="F780" s="1"/>
      <c r="G780" s="1488" t="s">
        <v>2701</v>
      </c>
      <c r="H780" s="4" t="str">
        <f>'BID II'!B2897</f>
        <v>Belanja Bahan Material</v>
      </c>
      <c r="I780" s="1"/>
      <c r="J780" s="1"/>
      <c r="K780" s="91">
        <f>SUM('BID II'!F2898:F2906)</f>
        <v>5906500</v>
      </c>
      <c r="L780" s="1" t="s">
        <v>1409</v>
      </c>
    </row>
    <row r="781" spans="1:13" ht="30" x14ac:dyDescent="0.25">
      <c r="A781" s="1"/>
      <c r="B781" s="1"/>
      <c r="C781" s="1"/>
      <c r="D781" s="1"/>
      <c r="E781" s="1"/>
      <c r="F781" s="1"/>
      <c r="G781" s="1">
        <v>12</v>
      </c>
      <c r="H781" s="4" t="str">
        <f>'BID II'!B2907</f>
        <v>Belanja Obat -obat Pertanian</v>
      </c>
      <c r="I781" s="1"/>
      <c r="J781" s="1"/>
      <c r="K781" s="91">
        <f>SUM('BID II'!F2908)</f>
        <v>1260000</v>
      </c>
      <c r="L781" s="1" t="s">
        <v>1409</v>
      </c>
    </row>
    <row r="782" spans="1:13" x14ac:dyDescent="0.25">
      <c r="A782" s="1"/>
      <c r="B782" s="1"/>
      <c r="C782" s="1"/>
      <c r="D782" s="1">
        <v>5</v>
      </c>
      <c r="E782" s="1">
        <v>2</v>
      </c>
      <c r="F782" s="1">
        <v>2</v>
      </c>
      <c r="G782" s="1"/>
      <c r="H782" s="4" t="str">
        <f>'BID II'!B2909</f>
        <v>Belanja Honorarium</v>
      </c>
      <c r="I782" s="1"/>
      <c r="J782" s="1"/>
      <c r="K782" s="91"/>
      <c r="L782" s="1"/>
    </row>
    <row r="783" spans="1:13" ht="30" x14ac:dyDescent="0.25">
      <c r="A783" s="1"/>
      <c r="B783" s="1"/>
      <c r="C783" s="1"/>
      <c r="D783" s="1"/>
      <c r="E783" s="1"/>
      <c r="F783" s="1"/>
      <c r="G783" s="1488" t="s">
        <v>2679</v>
      </c>
      <c r="H783" s="4" t="str">
        <f>'BID II'!B2910</f>
        <v>Honor Tim Yang Melaksanakan Kegiatan</v>
      </c>
      <c r="I783" s="1"/>
      <c r="J783" s="1"/>
      <c r="K783" s="91">
        <f>SUM('BID II'!F2911:F2913)</f>
        <v>36000000</v>
      </c>
      <c r="L783" s="1" t="s">
        <v>1409</v>
      </c>
    </row>
    <row r="784" spans="1:13" x14ac:dyDescent="0.25">
      <c r="A784" s="1"/>
      <c r="B784" s="1"/>
      <c r="C784" s="1"/>
      <c r="D784" s="1"/>
      <c r="E784" s="1"/>
      <c r="F784" s="1"/>
      <c r="G784" s="1488" t="s">
        <v>2699</v>
      </c>
      <c r="H784" s="4" t="str">
        <f>'BID II'!B2914</f>
        <v>Honor Petugas</v>
      </c>
      <c r="I784" s="1"/>
      <c r="J784" s="1"/>
      <c r="K784" s="91">
        <f>SUM('BID II'!F2915)</f>
        <v>81600000</v>
      </c>
      <c r="L784" s="1" t="s">
        <v>1409</v>
      </c>
    </row>
    <row r="785" spans="1:13" ht="30" x14ac:dyDescent="0.25">
      <c r="A785" s="1"/>
      <c r="B785" s="1"/>
      <c r="C785" s="1"/>
      <c r="D785" s="1">
        <v>5</v>
      </c>
      <c r="E785" s="1">
        <v>2</v>
      </c>
      <c r="F785" s="1">
        <v>6</v>
      </c>
      <c r="G785" s="1"/>
      <c r="H785" s="4" t="str">
        <f>'BID II'!B2916</f>
        <v>Belanja Operasional pekantoran</v>
      </c>
      <c r="I785" s="1"/>
      <c r="J785" s="1"/>
      <c r="K785" s="91"/>
      <c r="L785" s="1"/>
    </row>
    <row r="786" spans="1:13" x14ac:dyDescent="0.25">
      <c r="A786" s="1"/>
      <c r="B786" s="1"/>
      <c r="C786" s="1"/>
      <c r="D786" s="1"/>
      <c r="E786" s="1"/>
      <c r="F786" s="1"/>
      <c r="G786" s="1488" t="s">
        <v>2679</v>
      </c>
      <c r="H786" s="4" t="str">
        <f>'BID II'!B2917</f>
        <v>Belanja Langganan Listrik</v>
      </c>
      <c r="I786" s="1"/>
      <c r="J786" s="1"/>
      <c r="K786" s="91">
        <f>'BID II'!F2918</f>
        <v>30000000</v>
      </c>
      <c r="L786" s="1" t="s">
        <v>1409</v>
      </c>
    </row>
    <row r="787" spans="1:13" ht="30" x14ac:dyDescent="0.25">
      <c r="A787" s="1"/>
      <c r="B787" s="1"/>
      <c r="C787" s="1"/>
      <c r="D787" s="1"/>
      <c r="E787" s="1"/>
      <c r="F787" s="1"/>
      <c r="G787" s="1488" t="s">
        <v>2694</v>
      </c>
      <c r="H787" s="4" t="str">
        <f>'BID II'!B2919</f>
        <v>Belanja Langganan Air Bersih</v>
      </c>
      <c r="I787" s="1"/>
      <c r="J787" s="1"/>
      <c r="K787" s="91">
        <f>'BID II'!F2920</f>
        <v>480000</v>
      </c>
      <c r="L787" s="4" t="s">
        <v>2570</v>
      </c>
    </row>
    <row r="788" spans="1:13" x14ac:dyDescent="0.25">
      <c r="A788" s="1"/>
      <c r="B788" s="1"/>
      <c r="C788" s="1"/>
      <c r="D788" s="1">
        <v>5</v>
      </c>
      <c r="E788" s="1">
        <v>2</v>
      </c>
      <c r="F788" s="1">
        <v>6</v>
      </c>
      <c r="G788" s="1"/>
      <c r="H788" s="4" t="str">
        <f>'BID II'!B2921</f>
        <v>Belanja Pemeliharaan</v>
      </c>
      <c r="I788" s="1"/>
      <c r="J788" s="1"/>
      <c r="K788" s="91"/>
      <c r="L788" s="1"/>
    </row>
    <row r="789" spans="1:13" ht="30" x14ac:dyDescent="0.25">
      <c r="A789" s="1"/>
      <c r="B789" s="1"/>
      <c r="C789" s="1"/>
      <c r="D789" s="1"/>
      <c r="E789" s="1"/>
      <c r="F789" s="1"/>
      <c r="G789" s="1488" t="s">
        <v>2679</v>
      </c>
      <c r="H789" s="4" t="str">
        <f>'BID II'!B2922</f>
        <v>Belanja Pemeliharaan Mesin dan alat berat</v>
      </c>
      <c r="I789" s="1"/>
      <c r="J789" s="1"/>
      <c r="K789" s="91">
        <f>'BID II'!F2923+'BID II'!F2924</f>
        <v>10000000</v>
      </c>
      <c r="L789" s="1" t="s">
        <v>1409</v>
      </c>
    </row>
    <row r="790" spans="1:13" ht="30" x14ac:dyDescent="0.25">
      <c r="A790" s="1"/>
      <c r="B790" s="1"/>
      <c r="C790" s="1"/>
      <c r="D790" s="1"/>
      <c r="E790" s="1"/>
      <c r="F790" s="1"/>
      <c r="G790" s="1488" t="s">
        <v>2694</v>
      </c>
      <c r="H790" s="4" t="str">
        <f>'BID II'!B2925</f>
        <v>Belanja Pemeliharaan Kendaraan Bermotor</v>
      </c>
      <c r="I790" s="1"/>
      <c r="J790" s="1"/>
      <c r="K790" s="91"/>
      <c r="L790" s="1" t="s">
        <v>1409</v>
      </c>
    </row>
    <row r="791" spans="1:13" ht="75" x14ac:dyDescent="0.25">
      <c r="A791" s="1027">
        <v>2</v>
      </c>
      <c r="B791" s="1027">
        <v>4</v>
      </c>
      <c r="C791" s="1491" t="s">
        <v>2701</v>
      </c>
      <c r="D791" s="1027"/>
      <c r="E791" s="1027"/>
      <c r="F791" s="1027"/>
      <c r="G791" s="1027"/>
      <c r="H791" s="1028" t="str">
        <f>'BID II'!B2942</f>
        <v>: Pemeiliharaan Fasilitas Pengelolaan Sampah Desa/ Pemukiman (Operasional Kegiatan Bank Sampah Desa)</v>
      </c>
      <c r="I791" s="1027"/>
      <c r="J791" s="1027"/>
      <c r="K791" s="1492">
        <f>SUM(K792:K798)</f>
        <v>25756700</v>
      </c>
      <c r="L791" s="1027"/>
      <c r="M791" s="83">
        <f>'BID II'!F2973</f>
        <v>25756700</v>
      </c>
    </row>
    <row r="792" spans="1:13" x14ac:dyDescent="0.25">
      <c r="A792" s="1"/>
      <c r="B792" s="1"/>
      <c r="C792" s="1"/>
      <c r="D792" s="1">
        <v>5</v>
      </c>
      <c r="E792" s="1">
        <v>2</v>
      </c>
      <c r="F792" s="1"/>
      <c r="G792" s="1"/>
      <c r="H792" s="4" t="str">
        <f>'BID II'!B2947</f>
        <v>Belanja Barang Jasa :</v>
      </c>
      <c r="I792" s="1"/>
      <c r="J792" s="1"/>
      <c r="K792" s="91"/>
      <c r="L792" s="1"/>
    </row>
    <row r="793" spans="1:13" ht="30" x14ac:dyDescent="0.25">
      <c r="A793" s="1"/>
      <c r="B793" s="1"/>
      <c r="C793" s="1"/>
      <c r="D793" s="1"/>
      <c r="E793" s="1"/>
      <c r="F793" s="1">
        <v>1</v>
      </c>
      <c r="G793" s="1"/>
      <c r="H793" s="4" t="str">
        <f>'BID II'!B2948</f>
        <v>Belanja barang perlengkapan</v>
      </c>
      <c r="I793" s="1"/>
      <c r="J793" s="1"/>
      <c r="K793" s="91"/>
      <c r="L793" s="1"/>
    </row>
    <row r="794" spans="1:13" ht="30" x14ac:dyDescent="0.25">
      <c r="A794" s="1"/>
      <c r="B794" s="1"/>
      <c r="C794" s="1"/>
      <c r="D794" s="1"/>
      <c r="E794" s="1"/>
      <c r="F794" s="1"/>
      <c r="G794" s="1488" t="s">
        <v>2697</v>
      </c>
      <c r="H794" s="4" t="str">
        <f>'BID II'!B2949</f>
        <v>Belanja perlengkapan Cetak</v>
      </c>
      <c r="I794" s="1"/>
      <c r="J794" s="1"/>
      <c r="K794" s="91">
        <f>'BID II'!F2950+'BID II'!F2951</f>
        <v>2200000</v>
      </c>
      <c r="L794" s="1" t="s">
        <v>1417</v>
      </c>
    </row>
    <row r="795" spans="1:13" x14ac:dyDescent="0.25">
      <c r="A795" s="1"/>
      <c r="B795" s="1"/>
      <c r="C795" s="1"/>
      <c r="D795" s="1"/>
      <c r="E795" s="1"/>
      <c r="F795" s="1"/>
      <c r="G795" s="1488" t="s">
        <v>2701</v>
      </c>
      <c r="H795" s="31" t="str">
        <f>'BID II'!B2954</f>
        <v>Belanja Bahan Dan Alat</v>
      </c>
      <c r="I795" s="1"/>
      <c r="J795" s="1"/>
      <c r="K795" s="91">
        <f>SUM('BID II'!F2955:F2962)</f>
        <v>4716700</v>
      </c>
      <c r="L795" s="1" t="s">
        <v>1711</v>
      </c>
    </row>
    <row r="796" spans="1:13" x14ac:dyDescent="0.25">
      <c r="A796" s="1"/>
      <c r="B796" s="1"/>
      <c r="C796" s="1"/>
      <c r="D796" s="1"/>
      <c r="E796" s="1"/>
      <c r="F796" s="1"/>
      <c r="G796" s="1488" t="s">
        <v>2703</v>
      </c>
      <c r="H796" s="1" t="str">
        <f>'BID II'!B2963</f>
        <v>Belanja Paikaian Seragam</v>
      </c>
      <c r="I796" s="1"/>
      <c r="J796" s="1"/>
      <c r="K796" s="91">
        <f>SUM('BID II'!F2964:F2968)</f>
        <v>6840000</v>
      </c>
      <c r="L796" s="1" t="s">
        <v>1409</v>
      </c>
    </row>
    <row r="797" spans="1:13" x14ac:dyDescent="0.25">
      <c r="A797" s="1"/>
      <c r="B797" s="1"/>
      <c r="C797" s="1"/>
      <c r="D797" s="1">
        <v>5</v>
      </c>
      <c r="E797" s="1">
        <v>2</v>
      </c>
      <c r="F797" s="1">
        <v>2</v>
      </c>
      <c r="G797" s="1"/>
      <c r="H797" s="1" t="str">
        <f>'BID II'!B2969</f>
        <v>Belanja Honorarium</v>
      </c>
      <c r="I797" s="1"/>
      <c r="J797" s="1"/>
      <c r="K797" s="91"/>
      <c r="L797" s="1"/>
    </row>
    <row r="798" spans="1:13" x14ac:dyDescent="0.25">
      <c r="A798" s="1"/>
      <c r="B798" s="1"/>
      <c r="C798" s="1"/>
      <c r="D798" s="1"/>
      <c r="E798" s="1"/>
      <c r="F798" s="1"/>
      <c r="G798" s="1488" t="s">
        <v>2699</v>
      </c>
      <c r="H798" s="1" t="str">
        <f>'BID II'!B2970</f>
        <v>Belanja Upah</v>
      </c>
      <c r="I798" s="1"/>
      <c r="J798" s="1"/>
      <c r="K798" s="91">
        <f>'BID II'!F2971</f>
        <v>12000000</v>
      </c>
      <c r="L798" s="1" t="s">
        <v>1409</v>
      </c>
    </row>
    <row r="799" spans="1:13" ht="30" x14ac:dyDescent="0.25">
      <c r="A799" s="1027">
        <v>2</v>
      </c>
      <c r="B799" s="1027">
        <v>4</v>
      </c>
      <c r="C799" s="1491" t="s">
        <v>2701</v>
      </c>
      <c r="D799" s="1027"/>
      <c r="E799" s="1027"/>
      <c r="F799" s="1027"/>
      <c r="G799" s="1027"/>
      <c r="H799" s="1028" t="str">
        <f>'BID II'!B2987</f>
        <v>: Operasional Tim Kebersihan Lingkungan</v>
      </c>
      <c r="I799" s="1027"/>
      <c r="J799" s="1027"/>
      <c r="K799" s="1492">
        <f>SUM(K800:K808)</f>
        <v>101391231.8</v>
      </c>
      <c r="L799" s="1492"/>
      <c r="M799" s="83">
        <f>'BID II'!F3020</f>
        <v>101527164.70999996</v>
      </c>
    </row>
    <row r="800" spans="1:13" x14ac:dyDescent="0.25">
      <c r="A800" s="1"/>
      <c r="B800" s="1"/>
      <c r="C800" s="1"/>
      <c r="D800" s="1">
        <v>5</v>
      </c>
      <c r="E800" s="1">
        <v>2</v>
      </c>
      <c r="F800" s="1"/>
      <c r="G800" s="1"/>
      <c r="H800" s="4" t="str">
        <f>'BID II'!B2992</f>
        <v>Belanja Barang dan Jasa :</v>
      </c>
      <c r="I800" s="1"/>
      <c r="J800" s="1"/>
      <c r="K800" s="91"/>
      <c r="L800" s="1"/>
    </row>
    <row r="801" spans="1:13" ht="30" x14ac:dyDescent="0.25">
      <c r="A801" s="1"/>
      <c r="B801" s="1"/>
      <c r="C801" s="1"/>
      <c r="D801" s="1"/>
      <c r="E801" s="1"/>
      <c r="F801" s="1">
        <v>1</v>
      </c>
      <c r="G801" s="1"/>
      <c r="H801" s="4" t="str">
        <f>'BID II'!B2993</f>
        <v>Belanja Barang Perlengkapan</v>
      </c>
      <c r="I801" s="1"/>
      <c r="J801" s="1"/>
      <c r="K801" s="91"/>
      <c r="L801" s="1"/>
    </row>
    <row r="802" spans="1:13" ht="60" x14ac:dyDescent="0.25">
      <c r="A802" s="1"/>
      <c r="B802" s="1"/>
      <c r="C802" s="1"/>
      <c r="D802" s="1"/>
      <c r="E802" s="1"/>
      <c r="F802" s="1"/>
      <c r="G802" s="1488" t="s">
        <v>2697</v>
      </c>
      <c r="H802" s="4" t="str">
        <f>'BID II'!B2994</f>
        <v>Belanja Bahan Bakar Minyak/Gas/Isi Ulang Tabung Pemadam Kebakaran</v>
      </c>
      <c r="I802" s="1"/>
      <c r="J802" s="1"/>
      <c r="K802" s="91">
        <f>SUM('BID II'!F2995)</f>
        <v>3600000</v>
      </c>
      <c r="L802" s="4" t="s">
        <v>1845</v>
      </c>
    </row>
    <row r="803" spans="1:13" ht="45" x14ac:dyDescent="0.25">
      <c r="A803" s="1"/>
      <c r="B803" s="1"/>
      <c r="C803" s="1"/>
      <c r="D803" s="1"/>
      <c r="E803" s="1"/>
      <c r="F803" s="1"/>
      <c r="G803" s="1488" t="s">
        <v>2701</v>
      </c>
      <c r="H803" s="1" t="str">
        <f>'BID II'!B2996</f>
        <v>Belanja Bahan Dan Alat</v>
      </c>
      <c r="I803" s="1"/>
      <c r="J803" s="1"/>
      <c r="K803" s="91">
        <f>'BID II'!F2998+'BID II'!F2999</f>
        <v>2140000</v>
      </c>
      <c r="L803" s="4" t="s">
        <v>2712</v>
      </c>
    </row>
    <row r="804" spans="1:13" x14ac:dyDescent="0.25">
      <c r="A804" s="1"/>
      <c r="B804" s="1"/>
      <c r="C804" s="1"/>
      <c r="D804" s="1"/>
      <c r="E804" s="1"/>
      <c r="F804" s="1"/>
      <c r="G804" s="1">
        <v>90</v>
      </c>
      <c r="H804" s="1" t="str">
        <f>'BID II'!B3000</f>
        <v>Belanja Atribut Pakaian</v>
      </c>
      <c r="I804" s="1"/>
      <c r="J804" s="1"/>
      <c r="K804" s="91">
        <f>SUM('BID II'!F3001:F3005)</f>
        <v>2955000</v>
      </c>
      <c r="L804" s="4" t="s">
        <v>1845</v>
      </c>
    </row>
    <row r="805" spans="1:13" x14ac:dyDescent="0.25">
      <c r="A805" s="1"/>
      <c r="B805" s="1"/>
      <c r="C805" s="1"/>
      <c r="D805" s="1">
        <v>5</v>
      </c>
      <c r="E805" s="1">
        <v>2</v>
      </c>
      <c r="F805" s="1">
        <v>2</v>
      </c>
      <c r="G805" s="1"/>
      <c r="H805" s="4" t="str">
        <f>'BID II'!B3006</f>
        <v>Belanja Jasa Honor</v>
      </c>
      <c r="I805" s="1"/>
      <c r="J805" s="1"/>
      <c r="K805" s="91"/>
      <c r="L805" s="4"/>
    </row>
    <row r="806" spans="1:13" x14ac:dyDescent="0.25">
      <c r="A806" s="1"/>
      <c r="B806" s="1"/>
      <c r="C806" s="1"/>
      <c r="D806" s="1"/>
      <c r="E806" s="1"/>
      <c r="F806" s="1"/>
      <c r="G806" s="1488" t="s">
        <v>2699</v>
      </c>
      <c r="H806" s="4" t="str">
        <f>'BID II'!B3007</f>
        <v>Belanja Upah</v>
      </c>
      <c r="I806" s="1"/>
      <c r="J806" s="1"/>
      <c r="K806" s="91">
        <f>SUM('BID II'!F3008:F3012)</f>
        <v>84800000</v>
      </c>
      <c r="L806" s="4" t="s">
        <v>1845</v>
      </c>
    </row>
    <row r="807" spans="1:13" x14ac:dyDescent="0.25">
      <c r="A807" s="1"/>
      <c r="B807" s="1"/>
      <c r="C807" s="1"/>
      <c r="D807" s="1">
        <v>5</v>
      </c>
      <c r="E807" s="1">
        <v>2</v>
      </c>
      <c r="F807" s="1">
        <v>6</v>
      </c>
      <c r="G807" s="1"/>
      <c r="H807" s="4" t="str">
        <f>'BID II'!B3014</f>
        <v>Belanja Pemeliharaan</v>
      </c>
      <c r="I807" s="1"/>
      <c r="J807" s="1"/>
      <c r="K807" s="91"/>
      <c r="L807" s="4"/>
    </row>
    <row r="808" spans="1:13" ht="30" x14ac:dyDescent="0.25">
      <c r="A808" s="1"/>
      <c r="B808" s="1"/>
      <c r="C808" s="1"/>
      <c r="D808" s="1"/>
      <c r="E808" s="1"/>
      <c r="F808" s="1"/>
      <c r="G808" s="1488" t="s">
        <v>2679</v>
      </c>
      <c r="H808" s="4" t="str">
        <f>'BID II'!B3015</f>
        <v>Belanja Pemeliharaan Peralatan</v>
      </c>
      <c r="I808" s="1"/>
      <c r="J808" s="1"/>
      <c r="K808" s="91">
        <f>SUM('BID II'!F3016:F3018)</f>
        <v>7896231.7999999998</v>
      </c>
      <c r="L808" s="4" t="s">
        <v>1845</v>
      </c>
    </row>
    <row r="809" spans="1:13" x14ac:dyDescent="0.25">
      <c r="A809" s="1027">
        <v>2</v>
      </c>
      <c r="B809" s="1027">
        <v>4</v>
      </c>
      <c r="C809" s="1491" t="s">
        <v>2701</v>
      </c>
      <c r="D809" s="1027"/>
      <c r="E809" s="1027"/>
      <c r="F809" s="1027"/>
      <c r="G809" s="1027"/>
      <c r="H809" s="1027" t="str">
        <f>'BID II'!B3034</f>
        <v>: TIM KEBERSIHAN SUNGAI</v>
      </c>
      <c r="I809" s="1027"/>
      <c r="J809" s="1027"/>
      <c r="K809" s="1492">
        <f>SUM(K810:K815)</f>
        <v>67974000</v>
      </c>
      <c r="L809" s="1028"/>
      <c r="M809" s="83">
        <f>'BID II'!F3056</f>
        <v>67974000</v>
      </c>
    </row>
    <row r="810" spans="1:13" x14ac:dyDescent="0.25">
      <c r="A810" s="1"/>
      <c r="B810" s="1"/>
      <c r="C810" s="1"/>
      <c r="D810" s="1">
        <v>5</v>
      </c>
      <c r="E810" s="1">
        <v>2</v>
      </c>
      <c r="F810" s="1"/>
      <c r="G810" s="1"/>
      <c r="H810" s="4" t="str">
        <f>'BID II'!B3039</f>
        <v>Belanja Barang dan Jasa :</v>
      </c>
      <c r="I810" s="1"/>
      <c r="J810" s="1"/>
      <c r="K810" s="91"/>
      <c r="L810" s="4"/>
    </row>
    <row r="811" spans="1:13" ht="30" x14ac:dyDescent="0.25">
      <c r="A811" s="1"/>
      <c r="B811" s="1"/>
      <c r="C811" s="1"/>
      <c r="D811" s="1"/>
      <c r="E811" s="1"/>
      <c r="F811" s="1">
        <v>1</v>
      </c>
      <c r="G811" s="1"/>
      <c r="H811" s="4" t="str">
        <f>'BID II'!B3040</f>
        <v>Belanja Barang Perlengkapan</v>
      </c>
      <c r="I811" s="1"/>
      <c r="J811" s="1"/>
      <c r="K811" s="91"/>
      <c r="L811" s="1"/>
    </row>
    <row r="812" spans="1:13" x14ac:dyDescent="0.25">
      <c r="A812" s="1"/>
      <c r="B812" s="1"/>
      <c r="C812" s="1"/>
      <c r="D812" s="1"/>
      <c r="E812" s="1"/>
      <c r="F812" s="1"/>
      <c r="G812" s="1488" t="s">
        <v>2701</v>
      </c>
      <c r="H812" s="4" t="str">
        <f>'BID II'!B3041</f>
        <v>Belanja Bahan Dan Alat</v>
      </c>
      <c r="I812" s="1"/>
      <c r="J812" s="1"/>
      <c r="K812" s="91">
        <f>SUM('BID II'!F3042:F3046)</f>
        <v>2014000</v>
      </c>
      <c r="L812" s="1" t="s">
        <v>1711</v>
      </c>
    </row>
    <row r="813" spans="1:13" x14ac:dyDescent="0.25">
      <c r="A813" s="1"/>
      <c r="B813" s="1"/>
      <c r="C813" s="1"/>
      <c r="D813" s="1"/>
      <c r="E813" s="1"/>
      <c r="F813" s="1"/>
      <c r="G813" s="1">
        <v>90</v>
      </c>
      <c r="H813" s="4" t="str">
        <f>'BID II'!B3047</f>
        <v>Belanja Atribut Pakaian</v>
      </c>
      <c r="I813" s="1"/>
      <c r="J813" s="1"/>
      <c r="K813" s="91">
        <f>SUM('BID II'!F3048:F3051)</f>
        <v>5960000</v>
      </c>
      <c r="L813" s="1" t="s">
        <v>1711</v>
      </c>
    </row>
    <row r="814" spans="1:13" x14ac:dyDescent="0.25">
      <c r="A814" s="1"/>
      <c r="B814" s="1"/>
      <c r="C814" s="1"/>
      <c r="D814" s="1">
        <v>5</v>
      </c>
      <c r="E814" s="1">
        <v>2</v>
      </c>
      <c r="F814" s="1">
        <v>2</v>
      </c>
      <c r="G814" s="1"/>
      <c r="H814" s="4" t="str">
        <f>'BID II'!B3052</f>
        <v>Belanja Jasa Honor</v>
      </c>
      <c r="I814" s="1"/>
      <c r="J814" s="1"/>
      <c r="K814" s="91"/>
      <c r="L814" s="1"/>
    </row>
    <row r="815" spans="1:13" x14ac:dyDescent="0.25">
      <c r="A815" s="1"/>
      <c r="B815" s="1"/>
      <c r="C815" s="1"/>
      <c r="D815" s="1"/>
      <c r="E815" s="1"/>
      <c r="F815" s="1"/>
      <c r="G815" s="1488" t="s">
        <v>2699</v>
      </c>
      <c r="H815" s="4" t="str">
        <f>'BID II'!B3053</f>
        <v>Belanja Upah</v>
      </c>
      <c r="I815" s="1"/>
      <c r="J815" s="1"/>
      <c r="K815" s="91">
        <f>SUM('BID II'!F3054)</f>
        <v>60000000</v>
      </c>
      <c r="L815" s="1" t="s">
        <v>1711</v>
      </c>
    </row>
    <row r="816" spans="1:13" ht="75" x14ac:dyDescent="0.25">
      <c r="A816" s="1027">
        <v>2</v>
      </c>
      <c r="B816" s="1027">
        <v>4</v>
      </c>
      <c r="C816" s="1491" t="s">
        <v>2701</v>
      </c>
      <c r="D816" s="1027"/>
      <c r="E816" s="1027"/>
      <c r="F816" s="1027"/>
      <c r="G816" s="1027"/>
      <c r="H816" s="1028" t="str">
        <f>'BID II'!B3102</f>
        <v>: Sosialisasi tentang Lingkungan Hidup dan Kehutanan (Sosialisasi Pemilihan Sampah Rumah Tangga)</v>
      </c>
      <c r="I816" s="1027"/>
      <c r="J816" s="1027"/>
      <c r="K816" s="1492">
        <f>SUM(K817:K824)</f>
        <v>24715000</v>
      </c>
      <c r="L816" s="1027"/>
      <c r="M816" s="32">
        <f>'BID II'!F3130</f>
        <v>24715000</v>
      </c>
    </row>
    <row r="817" spans="1:14" x14ac:dyDescent="0.25">
      <c r="A817" s="1"/>
      <c r="B817" s="1"/>
      <c r="C817" s="1"/>
      <c r="D817" s="1">
        <v>5</v>
      </c>
      <c r="E817" s="1">
        <v>2</v>
      </c>
      <c r="F817" s="1"/>
      <c r="G817" s="1"/>
      <c r="H817" s="4" t="str">
        <f>'BID II'!B3108</f>
        <v>Belanja Barang Dan Jasa</v>
      </c>
      <c r="I817" s="1"/>
      <c r="J817" s="1"/>
      <c r="K817" s="91"/>
      <c r="L817" s="1"/>
    </row>
    <row r="818" spans="1:14" ht="30" x14ac:dyDescent="0.25">
      <c r="A818" s="1"/>
      <c r="B818" s="1"/>
      <c r="C818" s="1"/>
      <c r="D818" s="1"/>
      <c r="E818" s="1"/>
      <c r="F818" s="1">
        <v>1</v>
      </c>
      <c r="G818" s="1"/>
      <c r="H818" s="4" t="str">
        <f>'BID II'!B3109</f>
        <v>Belanja Barang Perlengkapan</v>
      </c>
      <c r="I818" s="1"/>
      <c r="J818" s="1"/>
      <c r="K818" s="91"/>
      <c r="L818" s="1"/>
    </row>
    <row r="819" spans="1:14" ht="30" x14ac:dyDescent="0.25">
      <c r="A819" s="1"/>
      <c r="B819" s="1"/>
      <c r="C819" s="1"/>
      <c r="D819" s="1"/>
      <c r="E819" s="1"/>
      <c r="F819" s="1"/>
      <c r="G819" s="1488" t="s">
        <v>2700</v>
      </c>
      <c r="H819" s="4" t="str">
        <f>'BID II'!B3110</f>
        <v>Belanja Perlengkapan Barang Konsumsi</v>
      </c>
      <c r="I819" s="1"/>
      <c r="J819" s="1"/>
      <c r="K819" s="91">
        <f>SUM('BID II'!F3111)</f>
        <v>19500000</v>
      </c>
      <c r="L819" s="4" t="s">
        <v>2570</v>
      </c>
    </row>
    <row r="820" spans="1:14" ht="30" x14ac:dyDescent="0.25">
      <c r="A820" s="1"/>
      <c r="B820" s="1"/>
      <c r="C820" s="1"/>
      <c r="D820" s="1"/>
      <c r="E820" s="1"/>
      <c r="F820" s="1"/>
      <c r="G820" s="1488" t="s">
        <v>2702</v>
      </c>
      <c r="H820" s="4" t="str">
        <f>'BID II'!B3113</f>
        <v>Belanja Bendera/ Umbul-umbul/ Spanduk</v>
      </c>
      <c r="I820" s="1"/>
      <c r="J820" s="1"/>
      <c r="K820" s="91">
        <f>'BID II'!F3114</f>
        <v>90000</v>
      </c>
      <c r="L820" s="4" t="s">
        <v>2570</v>
      </c>
    </row>
    <row r="821" spans="1:14" ht="30" x14ac:dyDescent="0.25">
      <c r="A821" s="1"/>
      <c r="B821" s="1"/>
      <c r="C821" s="1"/>
      <c r="D821" s="1"/>
      <c r="E821" s="1"/>
      <c r="F821" s="1"/>
      <c r="G821" s="1">
        <v>90</v>
      </c>
      <c r="H821" s="4" t="str">
        <f>'BID II'!B3116</f>
        <v>Belanja Upakara, Upacara dan Aci</v>
      </c>
      <c r="I821" s="1"/>
      <c r="J821" s="1"/>
      <c r="K821" s="91">
        <f>SUM('BID II'!F3117:F3119)</f>
        <v>75000</v>
      </c>
      <c r="L821" s="4" t="s">
        <v>2570</v>
      </c>
    </row>
    <row r="822" spans="1:14" x14ac:dyDescent="0.25">
      <c r="A822" s="1"/>
      <c r="B822" s="1"/>
      <c r="C822" s="1"/>
      <c r="D822" s="1">
        <v>5</v>
      </c>
      <c r="E822" s="1">
        <v>2</v>
      </c>
      <c r="F822" s="1">
        <v>2</v>
      </c>
      <c r="G822" s="1"/>
      <c r="H822" s="4" t="str">
        <f>'BID II'!B3121</f>
        <v>Belanja Jasa Honorarium</v>
      </c>
      <c r="I822" s="1"/>
      <c r="J822" s="1"/>
      <c r="K822" s="91"/>
      <c r="L822" s="4"/>
    </row>
    <row r="823" spans="1:14" ht="45" x14ac:dyDescent="0.25">
      <c r="A823" s="1"/>
      <c r="B823" s="1"/>
      <c r="C823" s="1"/>
      <c r="D823" s="1"/>
      <c r="E823" s="1"/>
      <c r="F823" s="1"/>
      <c r="G823" s="1488" t="s">
        <v>2679</v>
      </c>
      <c r="H823" s="4" t="str">
        <f>'BID II'!B3122</f>
        <v>Belanja Jasa Honorarium Tim Yang Melaksanakan Kegiatan</v>
      </c>
      <c r="I823" s="1"/>
      <c r="J823" s="1"/>
      <c r="K823" s="91">
        <f>SUM('BID II'!F3123:F3125)</f>
        <v>1150000</v>
      </c>
      <c r="L823" s="4" t="s">
        <v>2570</v>
      </c>
    </row>
    <row r="824" spans="1:14" ht="45" x14ac:dyDescent="0.25">
      <c r="A824" s="1"/>
      <c r="B824" s="1"/>
      <c r="C824" s="1"/>
      <c r="D824" s="1"/>
      <c r="E824" s="1"/>
      <c r="F824" s="1"/>
      <c r="G824" s="1488" t="s">
        <v>2697</v>
      </c>
      <c r="H824" s="4" t="str">
        <f>'BID II'!B3127</f>
        <v>Belanja Jasa Honorarium Ahli/Profesi/Konsultan/Narasumber</v>
      </c>
      <c r="I824" s="1"/>
      <c r="J824" s="1"/>
      <c r="K824" s="91">
        <f>'BID II'!F3128</f>
        <v>3900000</v>
      </c>
      <c r="L824" s="4" t="s">
        <v>2570</v>
      </c>
    </row>
    <row r="825" spans="1:14" ht="75" x14ac:dyDescent="0.25">
      <c r="A825" s="1027">
        <v>2</v>
      </c>
      <c r="B825" s="1027">
        <v>6</v>
      </c>
      <c r="C825" s="1491" t="s">
        <v>2694</v>
      </c>
      <c r="D825" s="1027"/>
      <c r="E825" s="1027"/>
      <c r="F825" s="1027"/>
      <c r="G825" s="1027"/>
      <c r="H825" s="1028" t="str">
        <f>'BID II'!B3145</f>
        <v>: Penyelenggaraan Informasi Publik Desa ( Pembuatan dan Pemasangan Baliho APBDesa )</v>
      </c>
      <c r="I825" s="1027"/>
      <c r="J825" s="1027"/>
      <c r="K825" s="1492">
        <f>K828</f>
        <v>3000000</v>
      </c>
      <c r="L825" s="1027"/>
    </row>
    <row r="826" spans="1:14" x14ac:dyDescent="0.25">
      <c r="A826" s="1"/>
      <c r="B826" s="1"/>
      <c r="C826" s="1"/>
      <c r="D826" s="1">
        <v>5</v>
      </c>
      <c r="E826" s="1">
        <v>2</v>
      </c>
      <c r="F826" s="1"/>
      <c r="G826" s="1"/>
      <c r="H826" s="4" t="str">
        <f>'BID II'!B3151</f>
        <v>Belanja Barang Jasa</v>
      </c>
      <c r="I826" s="1"/>
      <c r="J826" s="1"/>
      <c r="K826" s="91"/>
      <c r="L826" s="1"/>
    </row>
    <row r="827" spans="1:14" ht="30" x14ac:dyDescent="0.25">
      <c r="A827" s="1"/>
      <c r="B827" s="1"/>
      <c r="C827" s="1"/>
      <c r="D827" s="1"/>
      <c r="E827" s="1"/>
      <c r="F827" s="1">
        <v>1</v>
      </c>
      <c r="G827" s="1"/>
      <c r="H827" s="4" t="str">
        <f>'BID II'!B3152</f>
        <v>Belanaj Barang Perlengkapan</v>
      </c>
      <c r="I827" s="1"/>
      <c r="J827" s="1"/>
      <c r="K827" s="91"/>
      <c r="L827" s="1"/>
    </row>
    <row r="828" spans="1:14" ht="45" x14ac:dyDescent="0.25">
      <c r="A828" s="1"/>
      <c r="B828" s="1"/>
      <c r="C828" s="1"/>
      <c r="D828" s="1"/>
      <c r="E828" s="1"/>
      <c r="F828" s="1"/>
      <c r="G828" s="1488" t="s">
        <v>2697</v>
      </c>
      <c r="H828" s="4" t="str">
        <f>'BID II'!B3153</f>
        <v>Belanja perlengkapan cetak/ pengadaan (Baliho APBDes)</v>
      </c>
      <c r="I828" s="1"/>
      <c r="J828" s="1"/>
      <c r="K828" s="91">
        <f>'BID II'!F3155</f>
        <v>3000000</v>
      </c>
      <c r="L828" s="4" t="s">
        <v>2570</v>
      </c>
    </row>
    <row r="829" spans="1:14" ht="30" x14ac:dyDescent="0.25">
      <c r="A829" s="1489">
        <v>3</v>
      </c>
      <c r="B829" s="1489"/>
      <c r="C829" s="1489"/>
      <c r="D829" s="1489"/>
      <c r="E829" s="1489"/>
      <c r="F829" s="1489"/>
      <c r="G829" s="1489"/>
      <c r="H829" s="1490" t="str">
        <f>'BID III'!B5</f>
        <v>: Pembinaan Kemasyarakatan Desa</v>
      </c>
      <c r="I829" s="1489"/>
      <c r="J829" s="1489"/>
      <c r="K829" s="1495" t="e">
        <f>K830+K837+K844+K855+K864+K872+K895+K900+K904+K911+K914+K917+K921+K945+K974+K984+K987+K996+K1006+K1017+K1021+K1025+K1028+K1032+K1036+K1040+K1044+K1048+K1052+K1056+K1060+K1064+K1068</f>
        <v>#REF!</v>
      </c>
      <c r="L829" s="1489"/>
      <c r="M829" s="83">
        <f>Htungan!Y10</f>
        <v>3536201669</v>
      </c>
      <c r="N829" s="32" t="e">
        <f>K829-M829</f>
        <v>#REF!</v>
      </c>
    </row>
    <row r="830" spans="1:14" ht="75" x14ac:dyDescent="0.25">
      <c r="A830" s="1027">
        <v>3</v>
      </c>
      <c r="B830" s="1027">
        <v>1</v>
      </c>
      <c r="C830" s="1491" t="s">
        <v>2696</v>
      </c>
      <c r="D830" s="1027"/>
      <c r="E830" s="1027"/>
      <c r="F830" s="1027"/>
      <c r="G830" s="1027"/>
      <c r="H830" s="1028" t="str">
        <f>'BID III'!B7</f>
        <v>:Koordinasi Pembinaan Ketentraman, Ketertiban, dan Perlindungan Masyarakat (Pengamanan Pengerupukan)</v>
      </c>
      <c r="I830" s="1027"/>
      <c r="J830" s="1027"/>
      <c r="K830" s="1492">
        <f>SUM(K831:K836)</f>
        <v>6910000</v>
      </c>
      <c r="L830" s="1027"/>
    </row>
    <row r="831" spans="1:14" x14ac:dyDescent="0.25">
      <c r="A831" s="1"/>
      <c r="B831" s="1"/>
      <c r="C831" s="1"/>
      <c r="D831" s="1">
        <v>5</v>
      </c>
      <c r="E831" s="1">
        <v>2</v>
      </c>
      <c r="F831" s="1"/>
      <c r="G831" s="1"/>
      <c r="H831" s="4" t="str">
        <f>'BID III'!B13</f>
        <v>Belanja Barang dan Jasa</v>
      </c>
      <c r="I831" s="1"/>
      <c r="J831" s="1"/>
      <c r="K831" s="91"/>
      <c r="L831" s="1"/>
    </row>
    <row r="832" spans="1:14" ht="30" x14ac:dyDescent="0.25">
      <c r="A832" s="1"/>
      <c r="B832" s="1"/>
      <c r="C832" s="1"/>
      <c r="D832" s="1"/>
      <c r="E832" s="1"/>
      <c r="F832" s="1">
        <v>1</v>
      </c>
      <c r="G832" s="1"/>
      <c r="H832" s="4" t="str">
        <f>'BID III'!B14</f>
        <v>Belanja Barang Perlengkapan</v>
      </c>
      <c r="I832" s="1"/>
      <c r="J832" s="1"/>
      <c r="K832" s="91"/>
      <c r="L832" s="1"/>
    </row>
    <row r="833" spans="1:12" ht="30" x14ac:dyDescent="0.25">
      <c r="A833" s="1"/>
      <c r="B833" s="1"/>
      <c r="C833" s="1"/>
      <c r="D833" s="1"/>
      <c r="E833" s="1"/>
      <c r="F833" s="1"/>
      <c r="G833" s="1488" t="s">
        <v>2700</v>
      </c>
      <c r="H833" s="4" t="str">
        <f>'BID III'!B15</f>
        <v>Belanja Perlengkapan Barang Konsumsi</v>
      </c>
      <c r="I833" s="1"/>
      <c r="J833" s="1"/>
      <c r="K833" s="91">
        <f>'BID III'!F16+'BID III'!F17</f>
        <v>3345000</v>
      </c>
      <c r="L833" s="4" t="s">
        <v>2571</v>
      </c>
    </row>
    <row r="834" spans="1:12" ht="30" x14ac:dyDescent="0.25">
      <c r="A834" s="1"/>
      <c r="B834" s="1"/>
      <c r="C834" s="1"/>
      <c r="D834" s="1"/>
      <c r="E834" s="1"/>
      <c r="F834" s="1"/>
      <c r="G834" s="1">
        <v>90</v>
      </c>
      <c r="H834" s="4" t="str">
        <f>'BID III'!B19</f>
        <v>Belanja Upakara, Upacara Dan Aci</v>
      </c>
      <c r="I834" s="1"/>
      <c r="J834" s="1"/>
      <c r="K834" s="91">
        <f>SUM('BID III'!F20:F22)</f>
        <v>65000</v>
      </c>
      <c r="L834" s="4" t="s">
        <v>2571</v>
      </c>
    </row>
    <row r="835" spans="1:12" x14ac:dyDescent="0.25">
      <c r="A835" s="1"/>
      <c r="B835" s="1"/>
      <c r="C835" s="1"/>
      <c r="D835" s="1">
        <v>5</v>
      </c>
      <c r="E835" s="1">
        <v>2</v>
      </c>
      <c r="F835" s="1">
        <v>2</v>
      </c>
      <c r="G835" s="1"/>
      <c r="H835" s="4" t="str">
        <f>'BID III'!B23</f>
        <v>Belanja Jasa Honorarium</v>
      </c>
      <c r="I835" s="1"/>
      <c r="J835" s="1"/>
      <c r="K835" s="91"/>
      <c r="L835" s="1"/>
    </row>
    <row r="836" spans="1:12" ht="30" x14ac:dyDescent="0.25">
      <c r="A836" s="1"/>
      <c r="B836" s="1"/>
      <c r="C836" s="1"/>
      <c r="D836" s="1"/>
      <c r="E836" s="1"/>
      <c r="F836" s="1"/>
      <c r="G836" s="1488" t="s">
        <v>2699</v>
      </c>
      <c r="H836" s="4" t="str">
        <f>'BID III'!B24</f>
        <v>Belanja Jasa Honorarium Petugas (Linmas 35 orang)</v>
      </c>
      <c r="I836" s="1"/>
      <c r="J836" s="1"/>
      <c r="K836" s="91">
        <f>'BID III'!F24</f>
        <v>3500000</v>
      </c>
      <c r="L836" s="1" t="s">
        <v>2571</v>
      </c>
    </row>
    <row r="837" spans="1:12" ht="75" x14ac:dyDescent="0.25">
      <c r="A837" s="1027">
        <v>3</v>
      </c>
      <c r="B837" s="1027">
        <v>1</v>
      </c>
      <c r="C837" s="1491" t="s">
        <v>2696</v>
      </c>
      <c r="D837" s="1027"/>
      <c r="E837" s="1027"/>
      <c r="F837" s="1027"/>
      <c r="G837" s="1027"/>
      <c r="H837" s="1028" t="str">
        <f>'BID III'!B40</f>
        <v>: Koordinasi Pembinaan Ketentraman, Ketertiban, dan Perlindungan Masyarakat (Pengamanan Tahun Baru)</v>
      </c>
      <c r="I837" s="1027"/>
      <c r="J837" s="1027"/>
      <c r="K837" s="1492">
        <f>SUM(K838:K843)</f>
        <v>8540000</v>
      </c>
      <c r="L837" s="1027"/>
    </row>
    <row r="838" spans="1:12" x14ac:dyDescent="0.25">
      <c r="A838" s="1"/>
      <c r="B838" s="1"/>
      <c r="C838" s="1"/>
      <c r="D838" s="1">
        <v>5</v>
      </c>
      <c r="E838" s="1">
        <v>2</v>
      </c>
      <c r="F838" s="1"/>
      <c r="G838" s="1"/>
      <c r="H838" s="4" t="str">
        <f>'BID III'!B46</f>
        <v>Belanja Barang dan Jasa</v>
      </c>
      <c r="I838" s="1"/>
      <c r="J838" s="1"/>
      <c r="K838" s="91"/>
      <c r="L838" s="1"/>
    </row>
    <row r="839" spans="1:12" ht="30" x14ac:dyDescent="0.25">
      <c r="A839" s="1"/>
      <c r="B839" s="1"/>
      <c r="C839" s="1"/>
      <c r="D839" s="1"/>
      <c r="E839" s="1"/>
      <c r="F839" s="1">
        <v>1</v>
      </c>
      <c r="G839" s="1"/>
      <c r="H839" s="4" t="str">
        <f>'BID III'!B47</f>
        <v>Belanja Barang Perlengkapan</v>
      </c>
      <c r="I839" s="1"/>
      <c r="J839" s="1"/>
      <c r="K839" s="91"/>
      <c r="L839" s="1"/>
    </row>
    <row r="840" spans="1:12" ht="30" x14ac:dyDescent="0.25">
      <c r="A840" s="1"/>
      <c r="B840" s="1"/>
      <c r="C840" s="1"/>
      <c r="D840" s="1"/>
      <c r="E840" s="1"/>
      <c r="F840" s="1"/>
      <c r="G840" s="1488" t="s">
        <v>2700</v>
      </c>
      <c r="H840" s="4" t="str">
        <f>'BID III'!B48</f>
        <v>Belanja Perlengkapan Barang Konsumsi</v>
      </c>
      <c r="I840" s="1"/>
      <c r="J840" s="1"/>
      <c r="K840" s="91">
        <f>SUM('BID III'!F49:F50)</f>
        <v>3375000</v>
      </c>
      <c r="L840" s="4" t="s">
        <v>2571</v>
      </c>
    </row>
    <row r="841" spans="1:12" ht="30" x14ac:dyDescent="0.25">
      <c r="A841" s="1"/>
      <c r="B841" s="1"/>
      <c r="C841" s="1"/>
      <c r="D841" s="1"/>
      <c r="E841" s="1"/>
      <c r="F841" s="1"/>
      <c r="G841" s="1">
        <v>90</v>
      </c>
      <c r="H841" s="4" t="str">
        <f>'BID III'!B52</f>
        <v>Belanja Upakara, Upacara Dan Aci</v>
      </c>
      <c r="I841" s="1"/>
      <c r="J841" s="1"/>
      <c r="K841" s="91">
        <f>SUM('BID III'!F53:F55)</f>
        <v>65000</v>
      </c>
      <c r="L841" s="4" t="s">
        <v>2571</v>
      </c>
    </row>
    <row r="842" spans="1:12" x14ac:dyDescent="0.25">
      <c r="A842" s="1"/>
      <c r="B842" s="1"/>
      <c r="C842" s="1"/>
      <c r="D842" s="1">
        <v>5</v>
      </c>
      <c r="E842" s="1">
        <v>2</v>
      </c>
      <c r="F842" s="1">
        <v>2</v>
      </c>
      <c r="G842" s="1"/>
      <c r="H842" s="4" t="str">
        <f>'BID III'!B56</f>
        <v>Belanja Jasa Honorarium</v>
      </c>
      <c r="I842" s="1"/>
      <c r="J842" s="1"/>
      <c r="K842" s="91"/>
      <c r="L842" s="1"/>
    </row>
    <row r="843" spans="1:12" ht="60" x14ac:dyDescent="0.25">
      <c r="A843" s="1"/>
      <c r="B843" s="1"/>
      <c r="C843" s="1"/>
      <c r="D843" s="1"/>
      <c r="E843" s="1"/>
      <c r="F843" s="1"/>
      <c r="G843" s="1488" t="s">
        <v>2699</v>
      </c>
      <c r="H843" s="4" t="str">
        <f>'BID III'!B57</f>
        <v>Belanja Jasa Honorarium Petugas Linmas 35or, Bendesa 3or, 13kelihan banjar</v>
      </c>
      <c r="I843" s="1"/>
      <c r="J843" s="1"/>
      <c r="K843" s="91">
        <f>SUM('BID III'!F57)</f>
        <v>5100000</v>
      </c>
      <c r="L843" s="4" t="s">
        <v>2571</v>
      </c>
    </row>
    <row r="844" spans="1:12" ht="75" x14ac:dyDescent="0.25">
      <c r="A844" s="1027">
        <v>3</v>
      </c>
      <c r="B844" s="1027">
        <v>1</v>
      </c>
      <c r="C844" s="1491" t="s">
        <v>2696</v>
      </c>
      <c r="D844" s="1027"/>
      <c r="E844" s="1027"/>
      <c r="F844" s="1027"/>
      <c r="G844" s="1027"/>
      <c r="H844" s="1028" t="str">
        <f>'BID III'!B73</f>
        <v>:Koordinasi Pembinaan Ketentraman, Ketertiban, dan Perlindungan Masyarakat (Penjagaan Linmas Desa)</v>
      </c>
      <c r="I844" s="1027"/>
      <c r="J844" s="1027"/>
      <c r="K844" s="1492">
        <f>SUM(K845:K854)</f>
        <v>321550000</v>
      </c>
      <c r="L844" s="1027"/>
    </row>
    <row r="845" spans="1:12" x14ac:dyDescent="0.25">
      <c r="A845" s="1"/>
      <c r="B845" s="1"/>
      <c r="C845" s="1"/>
      <c r="D845" s="1">
        <v>5</v>
      </c>
      <c r="E845" s="1">
        <v>2</v>
      </c>
      <c r="F845" s="1"/>
      <c r="G845" s="1"/>
      <c r="H845" s="4" t="str">
        <f>'BID III'!B78</f>
        <v>Belanja Barang Dan Jasa</v>
      </c>
      <c r="I845" s="1"/>
      <c r="J845" s="1"/>
      <c r="K845" s="91"/>
      <c r="L845" s="1"/>
    </row>
    <row r="846" spans="1:12" ht="30" x14ac:dyDescent="0.25">
      <c r="A846" s="1"/>
      <c r="B846" s="1"/>
      <c r="C846" s="1"/>
      <c r="D846" s="1"/>
      <c r="E846" s="1"/>
      <c r="F846" s="1">
        <v>1</v>
      </c>
      <c r="G846" s="1"/>
      <c r="H846" s="4" t="str">
        <f>'BID III'!B79</f>
        <v>Belanja Barang Perlengkapan</v>
      </c>
      <c r="I846" s="1"/>
      <c r="J846" s="1"/>
      <c r="K846" s="91"/>
      <c r="L846" s="1"/>
    </row>
    <row r="847" spans="1:12" ht="30" x14ac:dyDescent="0.25">
      <c r="A847" s="1"/>
      <c r="B847" s="1"/>
      <c r="C847" s="1"/>
      <c r="D847" s="1"/>
      <c r="E847" s="1"/>
      <c r="F847" s="1"/>
      <c r="G847" s="1488" t="s">
        <v>2699</v>
      </c>
      <c r="H847" s="4" t="str">
        <f>'BID III'!B80</f>
        <v>Belanja perlengkapan Cetak</v>
      </c>
      <c r="I847" s="1"/>
      <c r="J847" s="1"/>
      <c r="K847" s="91">
        <f>SUM('BID III'!F81:F82)</f>
        <v>250000</v>
      </c>
      <c r="L847" s="1" t="s">
        <v>1409</v>
      </c>
    </row>
    <row r="848" spans="1:12" ht="60" x14ac:dyDescent="0.25">
      <c r="A848" s="1"/>
      <c r="B848" s="1"/>
      <c r="C848" s="1"/>
      <c r="D848" s="1"/>
      <c r="E848" s="1"/>
      <c r="F848" s="1"/>
      <c r="G848" s="1488" t="s">
        <v>2697</v>
      </c>
      <c r="H848" s="4" t="str">
        <f>'BID III'!B83</f>
        <v>Belanja Bahan Bakar Minyak/ gas/ isi Ulang Tabung Pemadam Kebakaran</v>
      </c>
      <c r="I848" s="1"/>
      <c r="J848" s="1"/>
      <c r="K848" s="91">
        <f>SUM('BID III'!F84:F85)</f>
        <v>15000000</v>
      </c>
      <c r="L848" s="1" t="s">
        <v>1409</v>
      </c>
    </row>
    <row r="849" spans="1:12" ht="30" x14ac:dyDescent="0.25">
      <c r="A849" s="1"/>
      <c r="B849" s="1"/>
      <c r="C849" s="1"/>
      <c r="D849" s="1"/>
      <c r="E849" s="1"/>
      <c r="F849" s="1"/>
      <c r="G849" s="1488" t="s">
        <v>2701</v>
      </c>
      <c r="H849" s="1" t="str">
        <f>'BID III'!B86</f>
        <v>Belanja Bahan Meterial</v>
      </c>
      <c r="I849" s="1"/>
      <c r="J849" s="1"/>
      <c r="K849" s="91">
        <f>SUM('BID III'!F87:F89)</f>
        <v>38000000</v>
      </c>
      <c r="L849" s="4" t="s">
        <v>2570</v>
      </c>
    </row>
    <row r="850" spans="1:12" x14ac:dyDescent="0.25">
      <c r="A850" s="1"/>
      <c r="B850" s="1"/>
      <c r="C850" s="1"/>
      <c r="D850" s="1">
        <v>5</v>
      </c>
      <c r="E850" s="1">
        <v>2</v>
      </c>
      <c r="F850" s="1">
        <v>2</v>
      </c>
      <c r="G850" s="1"/>
      <c r="H850" s="4" t="str">
        <f>'BID III'!B90</f>
        <v>Belanja Jasa Honorarium</v>
      </c>
      <c r="I850" s="1"/>
      <c r="J850" s="1"/>
      <c r="K850" s="91"/>
      <c r="L850" s="1"/>
    </row>
    <row r="851" spans="1:12" ht="45" x14ac:dyDescent="0.25">
      <c r="A851" s="1"/>
      <c r="B851" s="1"/>
      <c r="C851" s="1"/>
      <c r="D851" s="1"/>
      <c r="E851" s="1"/>
      <c r="F851" s="1"/>
      <c r="G851" s="1488" t="s">
        <v>2679</v>
      </c>
      <c r="H851" s="4" t="str">
        <f>'BID III'!B91</f>
        <v>Belanja Jasa Honorarium Tim yang Melaksanakan Kegiatan</v>
      </c>
      <c r="I851" s="1"/>
      <c r="J851" s="1"/>
      <c r="K851" s="91">
        <f>SUM('BID III'!F92:F93)</f>
        <v>700000</v>
      </c>
      <c r="L851" s="4" t="s">
        <v>2570</v>
      </c>
    </row>
    <row r="852" spans="1:12" ht="30" x14ac:dyDescent="0.25">
      <c r="A852" s="1"/>
      <c r="B852" s="1"/>
      <c r="C852" s="1"/>
      <c r="D852" s="1"/>
      <c r="E852" s="1"/>
      <c r="F852" s="1"/>
      <c r="G852" s="1488" t="s">
        <v>2699</v>
      </c>
      <c r="H852" s="4" t="str">
        <f>'BID III'!B94</f>
        <v>Belanja Jasa Honorarium Petugas</v>
      </c>
      <c r="I852" s="1"/>
      <c r="J852" s="1"/>
      <c r="K852" s="91">
        <f>SUM('BID III'!F95)</f>
        <v>255500000</v>
      </c>
      <c r="L852" s="4" t="s">
        <v>2570</v>
      </c>
    </row>
    <row r="853" spans="1:12" x14ac:dyDescent="0.25">
      <c r="A853" s="1"/>
      <c r="B853" s="1"/>
      <c r="C853" s="1"/>
      <c r="D853" s="1">
        <v>5</v>
      </c>
      <c r="E853" s="1">
        <v>2</v>
      </c>
      <c r="F853" s="1">
        <v>6</v>
      </c>
      <c r="G853" s="1"/>
      <c r="H853" s="1" t="str">
        <f>'BID III'!B96</f>
        <v>Belanja Pemeliharaan</v>
      </c>
      <c r="I853" s="1"/>
      <c r="J853" s="1"/>
      <c r="K853" s="91"/>
      <c r="L853" s="1"/>
    </row>
    <row r="854" spans="1:12" ht="30" x14ac:dyDescent="0.25">
      <c r="A854" s="1"/>
      <c r="B854" s="1"/>
      <c r="C854" s="1"/>
      <c r="D854" s="1"/>
      <c r="E854" s="1"/>
      <c r="F854" s="1"/>
      <c r="G854" s="1488" t="s">
        <v>2679</v>
      </c>
      <c r="H854" s="4" t="str">
        <f>'BID III'!B97</f>
        <v>Belanja Pemeliharaan Kendaraan Bermotor</v>
      </c>
      <c r="I854" s="1"/>
      <c r="J854" s="1"/>
      <c r="K854" s="91">
        <f>SUM('BID III'!F98:F101)</f>
        <v>12100000</v>
      </c>
      <c r="L854" s="1" t="s">
        <v>1409</v>
      </c>
    </row>
    <row r="855" spans="1:12" ht="75" x14ac:dyDescent="0.25">
      <c r="A855" s="1027">
        <v>3</v>
      </c>
      <c r="B855" s="1027">
        <v>1</v>
      </c>
      <c r="C855" s="1491" t="s">
        <v>2697</v>
      </c>
      <c r="D855" s="1027"/>
      <c r="E855" s="1027"/>
      <c r="F855" s="1027"/>
      <c r="G855" s="1027"/>
      <c r="H855" s="1028" t="str">
        <f>'BID III'!B116</f>
        <v>: Pelatihan Kesiapsiagaan/Tanggap Bencana Skala Lokal Desa ( Pelatihan Tanggap Darurat Bencana )</v>
      </c>
      <c r="I855" s="1027"/>
      <c r="J855" s="1027"/>
      <c r="K855" s="1492" t="e">
        <f>SUM(K856:K863)</f>
        <v>#REF!</v>
      </c>
      <c r="L855" s="1027"/>
    </row>
    <row r="856" spans="1:12" x14ac:dyDescent="0.25">
      <c r="A856" s="1"/>
      <c r="B856" s="1"/>
      <c r="C856" s="1"/>
      <c r="D856" s="1">
        <v>5</v>
      </c>
      <c r="E856" s="1">
        <v>2</v>
      </c>
      <c r="F856" s="1"/>
      <c r="G856" s="1"/>
      <c r="H856" s="4" t="str">
        <f>'BID III'!B122</f>
        <v>Belanja Barang Dan Jasa</v>
      </c>
      <c r="I856" s="1"/>
      <c r="J856" s="1"/>
      <c r="K856" s="91"/>
      <c r="L856" s="1"/>
    </row>
    <row r="857" spans="1:12" ht="30" x14ac:dyDescent="0.25">
      <c r="A857" s="1"/>
      <c r="B857" s="1"/>
      <c r="C857" s="1"/>
      <c r="D857" s="1"/>
      <c r="E857" s="1"/>
      <c r="F857" s="1">
        <v>1</v>
      </c>
      <c r="G857" s="1"/>
      <c r="H857" s="4" t="str">
        <f>'BID III'!B123</f>
        <v>Belanja Barang Perlengkapan</v>
      </c>
      <c r="I857" s="1"/>
      <c r="J857" s="1"/>
      <c r="K857" s="91"/>
      <c r="L857" s="1"/>
    </row>
    <row r="858" spans="1:12" ht="30" x14ac:dyDescent="0.25">
      <c r="A858" s="1"/>
      <c r="B858" s="1"/>
      <c r="C858" s="1"/>
      <c r="D858" s="1"/>
      <c r="E858" s="1"/>
      <c r="F858" s="1"/>
      <c r="G858" s="1488" t="s">
        <v>2700</v>
      </c>
      <c r="H858" s="4" t="str">
        <f>'BID III'!B124</f>
        <v>Belanja Perlengkapan Barang Konsumsi</v>
      </c>
      <c r="I858" s="1"/>
      <c r="J858" s="1"/>
      <c r="K858" s="91">
        <f>'BID III'!F125</f>
        <v>675000</v>
      </c>
      <c r="L858" s="4" t="s">
        <v>2570</v>
      </c>
    </row>
    <row r="859" spans="1:12" ht="30" x14ac:dyDescent="0.25">
      <c r="A859" s="1"/>
      <c r="B859" s="1"/>
      <c r="C859" s="1"/>
      <c r="D859" s="1"/>
      <c r="E859" s="1"/>
      <c r="F859" s="1"/>
      <c r="G859" s="1488" t="s">
        <v>2703</v>
      </c>
      <c r="H859" s="1" t="str">
        <f>'BID III'!B126</f>
        <v>Belanja Pakaian Seragam</v>
      </c>
      <c r="I859" s="1"/>
      <c r="J859" s="1"/>
      <c r="K859" s="91">
        <f>SUM('BID III'!F128:F131)</f>
        <v>22715000</v>
      </c>
      <c r="L859" s="4" t="s">
        <v>2570</v>
      </c>
    </row>
    <row r="860" spans="1:12" ht="30" x14ac:dyDescent="0.25">
      <c r="A860" s="1"/>
      <c r="B860" s="1"/>
      <c r="C860" s="1"/>
      <c r="D860" s="1"/>
      <c r="E860" s="1"/>
      <c r="F860" s="1"/>
      <c r="G860" s="1488" t="s">
        <v>2702</v>
      </c>
      <c r="H860" s="4" t="str">
        <f>'BID III'!B132</f>
        <v>Belanja Bendera/ Umbul-umbul/ Spanduk</v>
      </c>
      <c r="I860" s="1"/>
      <c r="J860" s="1"/>
      <c r="K860" s="91">
        <f>'BID III'!F133</f>
        <v>90000</v>
      </c>
      <c r="L860" s="4" t="s">
        <v>2570</v>
      </c>
    </row>
    <row r="861" spans="1:12" ht="30" x14ac:dyDescent="0.25">
      <c r="A861" s="1"/>
      <c r="B861" s="1"/>
      <c r="C861" s="1"/>
      <c r="D861" s="1"/>
      <c r="E861" s="1"/>
      <c r="F861" s="1"/>
      <c r="G861" s="1">
        <v>90</v>
      </c>
      <c r="H861" s="4" t="str">
        <f>'BID III'!B134</f>
        <v>Belanja Upakara, Upacara Dan Aci</v>
      </c>
      <c r="I861" s="1"/>
      <c r="J861" s="1"/>
      <c r="K861" s="91">
        <f>'BID III'!F135</f>
        <v>50000</v>
      </c>
      <c r="L861" s="4" t="s">
        <v>2570</v>
      </c>
    </row>
    <row r="862" spans="1:12" x14ac:dyDescent="0.25">
      <c r="A862" s="1"/>
      <c r="B862" s="1"/>
      <c r="C862" s="1"/>
      <c r="D862" s="1">
        <v>5</v>
      </c>
      <c r="E862" s="1">
        <v>2</v>
      </c>
      <c r="F862" s="1">
        <v>2</v>
      </c>
      <c r="G862" s="1"/>
      <c r="H862" s="4" t="str">
        <f>'BID III'!B136</f>
        <v>Belanja Jasa Honorarium</v>
      </c>
      <c r="I862" s="1"/>
      <c r="J862" s="1"/>
      <c r="K862" s="91"/>
      <c r="L862" s="4"/>
    </row>
    <row r="863" spans="1:12" ht="45" x14ac:dyDescent="0.25">
      <c r="A863" s="1"/>
      <c r="B863" s="1"/>
      <c r="C863" s="1"/>
      <c r="D863" s="1"/>
      <c r="E863" s="1"/>
      <c r="F863" s="1"/>
      <c r="G863" s="1488" t="s">
        <v>2697</v>
      </c>
      <c r="H863" s="4" t="str">
        <f>'BID III'!B137</f>
        <v>Belanja Jasa Honorarium Ahli/Profesi/Konsultan/Narasumber</v>
      </c>
      <c r="I863" s="1"/>
      <c r="J863" s="1"/>
      <c r="K863" s="91" t="e">
        <f>'BID III'!#REF!</f>
        <v>#REF!</v>
      </c>
      <c r="L863" s="4" t="s">
        <v>2570</v>
      </c>
    </row>
    <row r="864" spans="1:12" ht="75" x14ac:dyDescent="0.25">
      <c r="A864" s="1027">
        <v>3</v>
      </c>
      <c r="B864" s="1027">
        <v>1</v>
      </c>
      <c r="C864" s="1491" t="s">
        <v>2701</v>
      </c>
      <c r="D864" s="1027"/>
      <c r="E864" s="1027"/>
      <c r="F864" s="1027"/>
      <c r="G864" s="1027"/>
      <c r="H864" s="1028" t="str">
        <f>'BID III'!B189</f>
        <v>:Sosialisasi kepada Masyarakat di Bidang Hukum dan Pelindungan Masyarakat (Pembinaan Keluarga Sadar Hukum)</v>
      </c>
      <c r="I864" s="1027"/>
      <c r="J864" s="1027"/>
      <c r="K864" s="1492">
        <f>SUM(K865:K871)</f>
        <v>1220000</v>
      </c>
      <c r="L864" s="1027"/>
    </row>
    <row r="865" spans="1:12" x14ac:dyDescent="0.25">
      <c r="A865" s="1"/>
      <c r="B865" s="1"/>
      <c r="C865" s="1"/>
      <c r="D865" s="1">
        <v>5</v>
      </c>
      <c r="E865" s="1">
        <v>2</v>
      </c>
      <c r="F865" s="1"/>
      <c r="G865" s="1"/>
      <c r="H865" s="4" t="str">
        <f>'BID III'!B195</f>
        <v>Belanja Barang Dan Jasa</v>
      </c>
      <c r="I865" s="1"/>
      <c r="J865" s="1"/>
      <c r="K865" s="91"/>
      <c r="L865" s="1"/>
    </row>
    <row r="866" spans="1:12" ht="30" x14ac:dyDescent="0.25">
      <c r="A866" s="1"/>
      <c r="B866" s="1"/>
      <c r="C866" s="1"/>
      <c r="D866" s="1"/>
      <c r="E866" s="1"/>
      <c r="F866" s="1">
        <v>1</v>
      </c>
      <c r="G866" s="1"/>
      <c r="H866" s="4" t="str">
        <f>'BID III'!B196</f>
        <v>Belanja Barang Perlengkapan</v>
      </c>
      <c r="I866" s="1"/>
      <c r="J866" s="1"/>
      <c r="K866" s="91"/>
      <c r="L866" s="1"/>
    </row>
    <row r="867" spans="1:12" ht="30" x14ac:dyDescent="0.25">
      <c r="A867" s="1"/>
      <c r="B867" s="1"/>
      <c r="C867" s="1"/>
      <c r="D867" s="1"/>
      <c r="E867" s="1"/>
      <c r="F867" s="1"/>
      <c r="G867" s="1488" t="s">
        <v>2700</v>
      </c>
      <c r="H867" s="4" t="str">
        <f>'BID III'!B197</f>
        <v>Belanja Perlengkapan Barang Konsumsi</v>
      </c>
      <c r="I867" s="1"/>
      <c r="J867" s="1"/>
      <c r="K867" s="91">
        <f>SUM('BID III'!F198)</f>
        <v>465000</v>
      </c>
      <c r="L867" s="4" t="s">
        <v>2567</v>
      </c>
    </row>
    <row r="868" spans="1:12" ht="30" x14ac:dyDescent="0.25">
      <c r="A868" s="1"/>
      <c r="B868" s="1"/>
      <c r="C868" s="1"/>
      <c r="D868" s="1"/>
      <c r="E868" s="1"/>
      <c r="F868" s="1"/>
      <c r="G868" s="1488" t="s">
        <v>2702</v>
      </c>
      <c r="H868" s="4" t="str">
        <f>'BID III'!B199</f>
        <v>Belanja Bendera/ Umbul-umbul/ Spanduk</v>
      </c>
      <c r="I868" s="1"/>
      <c r="J868" s="1"/>
      <c r="K868" s="91">
        <f>'BID III'!F200</f>
        <v>90000</v>
      </c>
      <c r="L868" s="4" t="s">
        <v>2567</v>
      </c>
    </row>
    <row r="869" spans="1:12" ht="30" x14ac:dyDescent="0.25">
      <c r="A869" s="1"/>
      <c r="B869" s="1"/>
      <c r="C869" s="1"/>
      <c r="D869" s="1"/>
      <c r="E869" s="1"/>
      <c r="F869" s="1"/>
      <c r="G869" s="1">
        <v>90</v>
      </c>
      <c r="H869" s="4" t="str">
        <f>'BID III'!B201</f>
        <v>Belanja Upakara, Upacara Dan Aci</v>
      </c>
      <c r="I869" s="1"/>
      <c r="J869" s="1"/>
      <c r="K869" s="91">
        <f>'BID III'!F202+'BID III'!F203+'BID III'!F204</f>
        <v>65000</v>
      </c>
      <c r="L869" s="4" t="s">
        <v>2567</v>
      </c>
    </row>
    <row r="870" spans="1:12" x14ac:dyDescent="0.25">
      <c r="A870" s="1"/>
      <c r="B870" s="1"/>
      <c r="C870" s="1"/>
      <c r="D870" s="1">
        <v>5</v>
      </c>
      <c r="E870" s="1">
        <v>2</v>
      </c>
      <c r="F870" s="1">
        <v>2</v>
      </c>
      <c r="G870" s="1"/>
      <c r="H870" s="4" t="str">
        <f>'BID III'!B205</f>
        <v>Belanja Honorarium</v>
      </c>
      <c r="I870" s="1"/>
      <c r="J870" s="1"/>
      <c r="K870" s="91"/>
      <c r="L870" s="4"/>
    </row>
    <row r="871" spans="1:12" ht="45" x14ac:dyDescent="0.25">
      <c r="A871" s="1"/>
      <c r="B871" s="1"/>
      <c r="C871" s="1"/>
      <c r="D871" s="1"/>
      <c r="E871" s="1"/>
      <c r="F871" s="1"/>
      <c r="G871" s="1488" t="s">
        <v>2697</v>
      </c>
      <c r="H871" s="4" t="str">
        <f>'BID III'!B206</f>
        <v>Belanja Jasa Honorarium Ahli/Profesi/Konsultan/ Narasumber</v>
      </c>
      <c r="I871" s="1"/>
      <c r="J871" s="1"/>
      <c r="K871" s="91">
        <f>'BID III'!F207</f>
        <v>600000</v>
      </c>
      <c r="L871" s="4" t="s">
        <v>2567</v>
      </c>
    </row>
    <row r="872" spans="1:12" ht="165" x14ac:dyDescent="0.25">
      <c r="A872" s="1027">
        <v>3</v>
      </c>
      <c r="B872" s="1027">
        <v>2</v>
      </c>
      <c r="C872" s="1491" t="s">
        <v>2696</v>
      </c>
      <c r="D872" s="1027"/>
      <c r="E872" s="1027"/>
      <c r="F872" s="1027"/>
      <c r="G872" s="1027"/>
      <c r="H872" s="1028" t="str">
        <f>'BID III'!B276</f>
        <v xml:space="preserve">  : Penyelenggaraan Festival Kesenian, Adat / Kebudayaan, dan Keagamaan (Pembinaan dan Lomba Nyurat Aksara Bali Anak SD, Ngwacen Lontar Anak Remaja SMA/SMK, Nyatua Bali Krama Istri Dalam Rangka Penyelenggaraan Bulan Bahasa Bali )</v>
      </c>
      <c r="I872" s="1027"/>
      <c r="J872" s="1027"/>
      <c r="K872" s="1492">
        <f>SUM(K873:K894)</f>
        <v>34115000</v>
      </c>
      <c r="L872" s="1027"/>
    </row>
    <row r="873" spans="1:12" x14ac:dyDescent="0.25">
      <c r="A873" s="1"/>
      <c r="B873" s="1"/>
      <c r="C873" s="1"/>
      <c r="D873" s="1">
        <v>5</v>
      </c>
      <c r="E873" s="1">
        <v>2</v>
      </c>
      <c r="F873" s="1"/>
      <c r="G873" s="1"/>
      <c r="H873" s="4" t="str">
        <f>'BID III'!B281</f>
        <v>Belanja Barang Jasa</v>
      </c>
      <c r="I873" s="4"/>
      <c r="J873" s="4"/>
      <c r="K873" s="147"/>
      <c r="L873" s="4"/>
    </row>
    <row r="874" spans="1:12" ht="30" x14ac:dyDescent="0.25">
      <c r="A874" s="1"/>
      <c r="B874" s="1"/>
      <c r="C874" s="1"/>
      <c r="D874" s="1"/>
      <c r="E874" s="1"/>
      <c r="F874" s="1">
        <v>1</v>
      </c>
      <c r="G874" s="1"/>
      <c r="H874" s="4" t="str">
        <f>'BID III'!B282</f>
        <v>Belanja Barang Perlengkapan</v>
      </c>
      <c r="I874" s="4"/>
      <c r="J874" s="4"/>
      <c r="K874" s="147"/>
      <c r="L874" s="4"/>
    </row>
    <row r="875" spans="1:12" ht="30" x14ac:dyDescent="0.25">
      <c r="A875" s="1"/>
      <c r="B875" s="1"/>
      <c r="C875" s="1"/>
      <c r="D875" s="1"/>
      <c r="E875" s="1"/>
      <c r="F875" s="1"/>
      <c r="G875" s="1488" t="s">
        <v>2679</v>
      </c>
      <c r="H875" s="4" t="str">
        <f>'BID III'!B283</f>
        <v>Belanja Alat Tulis Kantor dan Benda Pos</v>
      </c>
      <c r="I875" s="4"/>
      <c r="J875" s="4"/>
      <c r="K875" s="147">
        <f>SUM('BID III'!F284:F285)</f>
        <v>55000</v>
      </c>
      <c r="L875" s="4" t="s">
        <v>2570</v>
      </c>
    </row>
    <row r="876" spans="1:12" ht="30" x14ac:dyDescent="0.25">
      <c r="A876" s="1"/>
      <c r="B876" s="1"/>
      <c r="C876" s="1"/>
      <c r="D876" s="1"/>
      <c r="E876" s="1"/>
      <c r="F876" s="1"/>
      <c r="G876" s="1488" t="s">
        <v>2700</v>
      </c>
      <c r="H876" s="4" t="str">
        <f>'BID III'!B286</f>
        <v>Belanja Perlengkapan Barang Konsumsi</v>
      </c>
      <c r="I876" s="4"/>
      <c r="J876" s="4"/>
      <c r="K876" s="147">
        <f>SUM('BID III'!F288:F294)</f>
        <v>6210000</v>
      </c>
      <c r="L876" s="4" t="s">
        <v>2570</v>
      </c>
    </row>
    <row r="877" spans="1:12" ht="30" x14ac:dyDescent="0.25">
      <c r="A877" s="1"/>
      <c r="B877" s="1"/>
      <c r="C877" s="1"/>
      <c r="D877" s="1"/>
      <c r="E877" s="1"/>
      <c r="F877" s="1"/>
      <c r="G877" s="1488" t="s">
        <v>2702</v>
      </c>
      <c r="H877" s="4" t="str">
        <f>'BID III'!B295</f>
        <v>Belanja Bendera/Umbul - umbul/ Spanduk</v>
      </c>
      <c r="I877" s="4"/>
      <c r="J877" s="4"/>
      <c r="K877" s="147">
        <f>'BID III'!F296</f>
        <v>270000</v>
      </c>
      <c r="L877" s="4" t="s">
        <v>2570</v>
      </c>
    </row>
    <row r="878" spans="1:12" ht="30" x14ac:dyDescent="0.25">
      <c r="A878" s="1"/>
      <c r="B878" s="1"/>
      <c r="C878" s="1"/>
      <c r="D878" s="1"/>
      <c r="E878" s="1"/>
      <c r="F878" s="1"/>
      <c r="G878" s="1">
        <v>90</v>
      </c>
      <c r="H878" s="4" t="str">
        <f>'BID III'!B297</f>
        <v>Belanja Upakara, Upacara Dan Aci</v>
      </c>
      <c r="I878" s="4"/>
      <c r="J878" s="4"/>
      <c r="K878" s="147">
        <f>SUM('BID III'!F298:F301)</f>
        <v>160000</v>
      </c>
      <c r="L878" s="4" t="s">
        <v>2570</v>
      </c>
    </row>
    <row r="879" spans="1:12" x14ac:dyDescent="0.25">
      <c r="A879" s="1"/>
      <c r="B879" s="1"/>
      <c r="C879" s="1"/>
      <c r="D879" s="1">
        <v>5</v>
      </c>
      <c r="E879" s="1">
        <v>2</v>
      </c>
      <c r="F879" s="1">
        <v>2</v>
      </c>
      <c r="G879" s="1"/>
      <c r="H879" s="4" t="str">
        <f>'BID III'!B302</f>
        <v>Belanja Jasa Honorarium</v>
      </c>
      <c r="I879" s="4"/>
      <c r="J879" s="4"/>
      <c r="K879" s="147"/>
      <c r="L879" s="4"/>
    </row>
    <row r="880" spans="1:12" ht="60" x14ac:dyDescent="0.25">
      <c r="A880" s="1"/>
      <c r="B880" s="1"/>
      <c r="C880" s="1"/>
      <c r="D880" s="1"/>
      <c r="E880" s="1"/>
      <c r="F880" s="1"/>
      <c r="G880" s="1488" t="s">
        <v>2697</v>
      </c>
      <c r="H880" s="4" t="str">
        <f>'BID III'!B303</f>
        <v>Belanja Jasa Honorarium Ahli Profesi/Konsultan/Narasumber</v>
      </c>
      <c r="I880" s="4"/>
      <c r="J880" s="4"/>
      <c r="K880" s="147">
        <f>SUM('BID III'!F304:F306)</f>
        <v>11950000</v>
      </c>
      <c r="L880" s="4" t="s">
        <v>2570</v>
      </c>
    </row>
    <row r="881" spans="1:12" x14ac:dyDescent="0.25">
      <c r="A881" s="1"/>
      <c r="B881" s="1"/>
      <c r="C881" s="1"/>
      <c r="D881" s="1">
        <v>5</v>
      </c>
      <c r="E881" s="1">
        <v>2</v>
      </c>
      <c r="F881" s="1">
        <v>4</v>
      </c>
      <c r="G881" s="1"/>
      <c r="H881" s="4" t="str">
        <f>'BID III'!B307</f>
        <v>Belanja Jasa Sewa</v>
      </c>
      <c r="I881" s="4"/>
      <c r="J881" s="4"/>
      <c r="K881" s="147"/>
      <c r="L881" s="4"/>
    </row>
    <row r="882" spans="1:12" ht="30" x14ac:dyDescent="0.25">
      <c r="A882" s="1"/>
      <c r="B882" s="1"/>
      <c r="C882" s="1"/>
      <c r="D882" s="1"/>
      <c r="E882" s="1"/>
      <c r="F882" s="1"/>
      <c r="G882" s="1488" t="s">
        <v>2694</v>
      </c>
      <c r="H882" s="4" t="str">
        <f>'BID III'!B308</f>
        <v>Belanja Jasa Sewa Perlengkapan</v>
      </c>
      <c r="I882" s="4"/>
      <c r="J882" s="4"/>
      <c r="K882" s="147">
        <f>'BID III'!F309</f>
        <v>1000000</v>
      </c>
      <c r="L882" s="4" t="s">
        <v>2570</v>
      </c>
    </row>
    <row r="883" spans="1:12" ht="45" x14ac:dyDescent="0.25">
      <c r="A883" s="1"/>
      <c r="B883" s="1"/>
      <c r="C883" s="1"/>
      <c r="D883" s="1">
        <v>5</v>
      </c>
      <c r="E883" s="1">
        <v>2</v>
      </c>
      <c r="F883" s="1">
        <v>7</v>
      </c>
      <c r="G883" s="1"/>
      <c r="H883" s="4" t="str">
        <f>'BID III'!B310</f>
        <v>Belanja Barang dan Jasa yang Diserahkan Kepada Masyarakat</v>
      </c>
      <c r="I883" s="4"/>
      <c r="J883" s="4"/>
      <c r="K883" s="147"/>
      <c r="L883" s="4"/>
    </row>
    <row r="884" spans="1:12" ht="30" x14ac:dyDescent="0.25">
      <c r="A884" s="1"/>
      <c r="B884" s="1"/>
      <c r="C884" s="1"/>
      <c r="D884" s="1"/>
      <c r="E884" s="1"/>
      <c r="F884" s="1"/>
      <c r="G884" s="1">
        <v>90</v>
      </c>
      <c r="H884" s="4" t="str">
        <f>'BID III'!B311</f>
        <v>Belanja Jasa Atlit dan Seniman Berprestasi</v>
      </c>
      <c r="I884" s="4"/>
      <c r="J884" s="4"/>
      <c r="K884" s="147">
        <f>SUM('BID III'!F314:F322)</f>
        <v>10620000</v>
      </c>
      <c r="L884" s="4" t="s">
        <v>2570</v>
      </c>
    </row>
    <row r="885" spans="1:12" ht="30" x14ac:dyDescent="0.25">
      <c r="A885" s="1"/>
      <c r="B885" s="1"/>
      <c r="C885" s="1"/>
      <c r="D885" s="1"/>
      <c r="E885" s="1"/>
      <c r="F885" s="1"/>
      <c r="G885" s="1"/>
      <c r="H885" s="4" t="str">
        <f>'BID III'!B323</f>
        <v>Pengiriman Peserta Bulan Bahasa Bali Ke Kota</v>
      </c>
      <c r="I885" s="4"/>
      <c r="J885" s="4"/>
      <c r="K885" s="147"/>
      <c r="L885" s="4"/>
    </row>
    <row r="886" spans="1:12" x14ac:dyDescent="0.25">
      <c r="A886" s="1"/>
      <c r="B886" s="1"/>
      <c r="C886" s="1"/>
      <c r="D886" s="1">
        <v>5</v>
      </c>
      <c r="E886" s="1">
        <v>2</v>
      </c>
      <c r="F886" s="1"/>
      <c r="G886" s="1"/>
      <c r="H886" s="4" t="str">
        <f>'BID III'!B324</f>
        <v>Belanja Barang Jasa</v>
      </c>
      <c r="I886" s="4"/>
      <c r="J886" s="4"/>
      <c r="K886" s="147"/>
      <c r="L886" s="4"/>
    </row>
    <row r="887" spans="1:12" ht="30" x14ac:dyDescent="0.25">
      <c r="A887" s="1"/>
      <c r="B887" s="1"/>
      <c r="C887" s="1"/>
      <c r="D887" s="1"/>
      <c r="E887" s="1"/>
      <c r="F887" s="1">
        <v>1</v>
      </c>
      <c r="G887" s="1"/>
      <c r="H887" s="4" t="str">
        <f>'BID III'!B325</f>
        <v>Belanja Barang Perlengkapan</v>
      </c>
      <c r="I887" s="4"/>
      <c r="J887" s="4"/>
      <c r="K887" s="147"/>
      <c r="L887" s="4"/>
    </row>
    <row r="888" spans="1:12" ht="45" x14ac:dyDescent="0.25">
      <c r="A888" s="1"/>
      <c r="B888" s="1"/>
      <c r="C888" s="1"/>
      <c r="D888" s="1"/>
      <c r="E888" s="1"/>
      <c r="F888" s="1"/>
      <c r="G888" s="1488" t="s">
        <v>2700</v>
      </c>
      <c r="H888" s="4" t="str">
        <f>'BID III'!B326</f>
        <v>Belanja Barang Perlengkapan Barang Konsumsi</v>
      </c>
      <c r="I888" s="4"/>
      <c r="J888" s="4"/>
      <c r="K888" s="147">
        <f>SUM('BID III'!F327:F328)</f>
        <v>450000</v>
      </c>
      <c r="L888" s="4" t="s">
        <v>2570</v>
      </c>
    </row>
    <row r="889" spans="1:12" ht="30" x14ac:dyDescent="0.25">
      <c r="A889" s="1"/>
      <c r="B889" s="1"/>
      <c r="C889" s="1"/>
      <c r="D889" s="1"/>
      <c r="E889" s="1"/>
      <c r="F889" s="1"/>
      <c r="G889" s="1488" t="s">
        <v>2701</v>
      </c>
      <c r="H889" s="4" t="str">
        <f>'BID III'!B329</f>
        <v>Belanja Bahan Material</v>
      </c>
      <c r="I889" s="4"/>
      <c r="J889" s="4"/>
      <c r="K889" s="147">
        <f>SUM('BID III'!F330:F331)</f>
        <v>1800000</v>
      </c>
      <c r="L889" s="4" t="s">
        <v>2570</v>
      </c>
    </row>
    <row r="890" spans="1:12" x14ac:dyDescent="0.25">
      <c r="A890" s="1"/>
      <c r="B890" s="1"/>
      <c r="C890" s="1"/>
      <c r="D890" s="1">
        <v>5</v>
      </c>
      <c r="E890" s="1">
        <v>2</v>
      </c>
      <c r="F890" s="1">
        <v>2</v>
      </c>
      <c r="G890" s="1"/>
      <c r="H890" s="4" t="str">
        <f>'BID III'!B332</f>
        <v>Belanja Jasa Honorarium</v>
      </c>
      <c r="I890" s="4"/>
      <c r="J890" s="4"/>
      <c r="K890" s="147"/>
      <c r="L890" s="4"/>
    </row>
    <row r="891" spans="1:12" ht="30" x14ac:dyDescent="0.25">
      <c r="A891" s="1"/>
      <c r="B891" s="1"/>
      <c r="C891" s="1"/>
      <c r="D891" s="1"/>
      <c r="E891" s="1"/>
      <c r="F891" s="1"/>
      <c r="G891" s="1488" t="s">
        <v>2679</v>
      </c>
      <c r="H891" s="4" t="str">
        <f>'BID III'!B333</f>
        <v>Honor Tim Pelaksana Kegiatan</v>
      </c>
      <c r="I891" s="4"/>
      <c r="J891" s="4"/>
      <c r="K891" s="147">
        <f>SUM('BID III'!F334:F336)</f>
        <v>1150000</v>
      </c>
      <c r="L891" s="4" t="s">
        <v>2570</v>
      </c>
    </row>
    <row r="892" spans="1:12" ht="60" x14ac:dyDescent="0.25">
      <c r="A892" s="1"/>
      <c r="B892" s="1"/>
      <c r="C892" s="1"/>
      <c r="D892" s="1"/>
      <c r="E892" s="1"/>
      <c r="F892" s="1"/>
      <c r="G892" s="1488" t="s">
        <v>2697</v>
      </c>
      <c r="H892" s="4" t="str">
        <f>'BID III'!B337</f>
        <v>Belanja Jasa Honorarium Ahli/ Profesi/Konsultan/Narasumber</v>
      </c>
      <c r="I892" s="4"/>
      <c r="J892" s="4"/>
      <c r="K892" s="147">
        <f>'BID III'!F338</f>
        <v>300000</v>
      </c>
      <c r="L892" s="4" t="s">
        <v>2570</v>
      </c>
    </row>
    <row r="893" spans="1:12" ht="45" x14ac:dyDescent="0.25">
      <c r="A893" s="1"/>
      <c r="B893" s="1"/>
      <c r="C893" s="1"/>
      <c r="D893" s="1">
        <v>5</v>
      </c>
      <c r="E893" s="1">
        <v>2</v>
      </c>
      <c r="F893" s="1">
        <v>7</v>
      </c>
      <c r="G893" s="1"/>
      <c r="H893" s="4" t="str">
        <f>'BID III'!B339</f>
        <v>Belanja Barang dan Jasa yang Diserahkan Kepada Masyarakat</v>
      </c>
      <c r="I893" s="4"/>
      <c r="J893" s="4"/>
      <c r="K893" s="147"/>
      <c r="L893" s="4"/>
    </row>
    <row r="894" spans="1:12" ht="30" x14ac:dyDescent="0.25">
      <c r="A894" s="1"/>
      <c r="B894" s="1"/>
      <c r="C894" s="1"/>
      <c r="D894" s="1"/>
      <c r="E894" s="1"/>
      <c r="F894" s="1"/>
      <c r="G894" s="1">
        <v>91</v>
      </c>
      <c r="H894" s="4" t="str">
        <f>'BID III'!B340</f>
        <v>Belanja Uang Saku Peserta</v>
      </c>
      <c r="I894" s="4"/>
      <c r="J894" s="4"/>
      <c r="K894" s="147">
        <f>'BID III'!F340</f>
        <v>150000</v>
      </c>
      <c r="L894" s="4" t="s">
        <v>2570</v>
      </c>
    </row>
    <row r="895" spans="1:12" ht="45" x14ac:dyDescent="0.25">
      <c r="A895" s="1027">
        <v>3</v>
      </c>
      <c r="B895" s="1027">
        <v>2</v>
      </c>
      <c r="C895" s="1027">
        <v>90</v>
      </c>
      <c r="D895" s="1027"/>
      <c r="E895" s="1027"/>
      <c r="F895" s="1027"/>
      <c r="G895" s="1027"/>
      <c r="H895" s="1028" t="str">
        <f>'BID III'!B356</f>
        <v xml:space="preserve"> : Pembinaan Adat dan Keagamaan (Piodalan Padmasana)</v>
      </c>
      <c r="I895" s="1027"/>
      <c r="J895" s="1027"/>
      <c r="K895" s="1492">
        <f>SUM(K896:K899)</f>
        <v>17633569</v>
      </c>
      <c r="L895" s="1027"/>
    </row>
    <row r="896" spans="1:12" x14ac:dyDescent="0.25">
      <c r="A896" s="1"/>
      <c r="B896" s="1"/>
      <c r="C896" s="1"/>
      <c r="D896" s="1">
        <v>5</v>
      </c>
      <c r="E896" s="1">
        <v>2</v>
      </c>
      <c r="F896" s="1"/>
      <c r="G896" s="1"/>
      <c r="H896" s="4" t="str">
        <f>'BID III'!B362</f>
        <v xml:space="preserve">Belanja Barang dan Jasa </v>
      </c>
      <c r="I896" s="1"/>
      <c r="J896" s="1"/>
      <c r="K896" s="91"/>
      <c r="L896" s="1"/>
    </row>
    <row r="897" spans="1:13" ht="30" x14ac:dyDescent="0.25">
      <c r="A897" s="1"/>
      <c r="B897" s="1"/>
      <c r="C897" s="1"/>
      <c r="D897" s="1"/>
      <c r="E897" s="1"/>
      <c r="F897" s="1">
        <v>1</v>
      </c>
      <c r="G897" s="1"/>
      <c r="H897" s="4" t="str">
        <f>'BID III'!B363</f>
        <v>Belanja Barang Perlengkapan</v>
      </c>
      <c r="I897" s="1"/>
      <c r="J897" s="1"/>
      <c r="K897" s="91"/>
      <c r="L897" s="1"/>
    </row>
    <row r="898" spans="1:13" ht="30" x14ac:dyDescent="0.25">
      <c r="A898" s="1"/>
      <c r="B898" s="1"/>
      <c r="C898" s="1"/>
      <c r="D898" s="1"/>
      <c r="E898" s="1"/>
      <c r="F898" s="1"/>
      <c r="G898" s="1488" t="s">
        <v>2679</v>
      </c>
      <c r="H898" s="4" t="str">
        <f>'BID III'!B364</f>
        <v>Belanja Perlengkapan Barang Konsumsi</v>
      </c>
      <c r="I898" s="1"/>
      <c r="J898" s="1"/>
      <c r="K898" s="91">
        <f>SUM('BID III'!F365)</f>
        <v>7500000</v>
      </c>
      <c r="L898" s="1" t="s">
        <v>2565</v>
      </c>
    </row>
    <row r="899" spans="1:13" ht="30" x14ac:dyDescent="0.25">
      <c r="A899" s="1"/>
      <c r="B899" s="1"/>
      <c r="C899" s="1"/>
      <c r="D899" s="1"/>
      <c r="E899" s="1"/>
      <c r="F899" s="1"/>
      <c r="G899" s="1">
        <v>90</v>
      </c>
      <c r="H899" s="4" t="str">
        <f>'BID III'!B366</f>
        <v>Belanja Upakara dan Upacara</v>
      </c>
      <c r="I899" s="1"/>
      <c r="J899" s="1"/>
      <c r="K899" s="91">
        <f>SUM('BID III'!F367:F380)</f>
        <v>10133569</v>
      </c>
      <c r="L899" s="1" t="s">
        <v>2565</v>
      </c>
    </row>
    <row r="900" spans="1:13" ht="45" x14ac:dyDescent="0.25">
      <c r="A900" s="1027">
        <v>3</v>
      </c>
      <c r="B900" s="1027">
        <v>2</v>
      </c>
      <c r="C900" s="1027">
        <v>90</v>
      </c>
      <c r="D900" s="1027"/>
      <c r="E900" s="1027"/>
      <c r="F900" s="1027"/>
      <c r="G900" s="1027"/>
      <c r="H900" s="1028" t="str">
        <f>'BID III'!B395</f>
        <v>: Pembinaan Adat dan Keagamaan (Upakara dan Upacara)</v>
      </c>
      <c r="I900" s="1027"/>
      <c r="J900" s="1027"/>
      <c r="K900" s="1492">
        <f>K903</f>
        <v>6700000</v>
      </c>
      <c r="L900" s="1027"/>
    </row>
    <row r="901" spans="1:13" x14ac:dyDescent="0.25">
      <c r="A901" s="1"/>
      <c r="B901" s="1"/>
      <c r="C901" s="1"/>
      <c r="D901" s="1">
        <v>5</v>
      </c>
      <c r="E901" s="1">
        <v>2</v>
      </c>
      <c r="F901" s="1"/>
      <c r="G901" s="1"/>
      <c r="H901" s="4" t="str">
        <f>'BID III'!B402</f>
        <v xml:space="preserve">Belanja Barang dan Jasa </v>
      </c>
      <c r="I901" s="1"/>
      <c r="J901" s="1"/>
      <c r="K901" s="91"/>
      <c r="L901" s="1"/>
    </row>
    <row r="902" spans="1:13" ht="30" x14ac:dyDescent="0.25">
      <c r="A902" s="1"/>
      <c r="B902" s="1"/>
      <c r="C902" s="1"/>
      <c r="D902" s="1"/>
      <c r="E902" s="1"/>
      <c r="F902" s="1">
        <v>1</v>
      </c>
      <c r="G902" s="1"/>
      <c r="H902" s="4" t="str">
        <f>'BID III'!B403</f>
        <v>Belanja Barang Perlengkapan</v>
      </c>
      <c r="I902" s="1"/>
      <c r="J902" s="1"/>
      <c r="K902" s="91"/>
      <c r="L902" s="1"/>
    </row>
    <row r="903" spans="1:13" ht="30" x14ac:dyDescent="0.25">
      <c r="A903" s="1"/>
      <c r="B903" s="1"/>
      <c r="C903" s="1"/>
      <c r="D903" s="1"/>
      <c r="E903" s="1"/>
      <c r="F903" s="1"/>
      <c r="G903" s="1">
        <v>90</v>
      </c>
      <c r="H903" s="4" t="str">
        <f>'BID III'!B404</f>
        <v>Belanja Upakara dan Upacara</v>
      </c>
      <c r="I903" s="1"/>
      <c r="J903" s="1"/>
      <c r="K903" s="91">
        <f>SUM('BID III'!F405:F412)</f>
        <v>6700000</v>
      </c>
      <c r="L903" s="1" t="s">
        <v>2565</v>
      </c>
    </row>
    <row r="904" spans="1:13" ht="45" x14ac:dyDescent="0.25">
      <c r="A904" s="1027">
        <v>3</v>
      </c>
      <c r="B904" s="1027">
        <v>2</v>
      </c>
      <c r="C904" s="1027">
        <v>90</v>
      </c>
      <c r="D904" s="1027"/>
      <c r="E904" s="1027"/>
      <c r="F904" s="1027"/>
      <c r="G904" s="1027"/>
      <c r="H904" s="1028" t="str">
        <f>'BID III'!B427</f>
        <v>: Pembinaan Adat dan Keagamaan (Tumpek Landep)</v>
      </c>
      <c r="I904" s="1027"/>
      <c r="J904" s="1027"/>
      <c r="K904" s="1492">
        <f>SUM(K905:K910)</f>
        <v>27100000</v>
      </c>
      <c r="L904" s="1027"/>
      <c r="M904" s="32">
        <f>'BID III'!F444</f>
        <v>27100000</v>
      </c>
    </row>
    <row r="905" spans="1:13" x14ac:dyDescent="0.25">
      <c r="A905" s="1"/>
      <c r="B905" s="1"/>
      <c r="C905" s="1"/>
      <c r="D905" s="1">
        <v>5</v>
      </c>
      <c r="E905" s="1">
        <v>2</v>
      </c>
      <c r="F905" s="1"/>
      <c r="G905" s="1"/>
      <c r="H905" s="4" t="str">
        <f>'BID III'!B433</f>
        <v xml:space="preserve">Belanja Barang dan Jasa </v>
      </c>
      <c r="I905" s="1"/>
      <c r="J905" s="1"/>
      <c r="K905" s="91"/>
      <c r="L905" s="1"/>
    </row>
    <row r="906" spans="1:13" ht="30" x14ac:dyDescent="0.25">
      <c r="A906" s="1"/>
      <c r="B906" s="1"/>
      <c r="C906" s="1"/>
      <c r="D906" s="1"/>
      <c r="E906" s="1"/>
      <c r="F906" s="1">
        <v>1</v>
      </c>
      <c r="G906" s="1"/>
      <c r="H906" s="4" t="str">
        <f>'BID III'!B434</f>
        <v>Belanja Barang Perlengkapan</v>
      </c>
      <c r="I906" s="1"/>
      <c r="J906" s="1"/>
      <c r="K906" s="91"/>
      <c r="L906" s="1"/>
    </row>
    <row r="907" spans="1:13" x14ac:dyDescent="0.25">
      <c r="A907" s="1"/>
      <c r="B907" s="1"/>
      <c r="C907" s="1"/>
      <c r="D907" s="1"/>
      <c r="E907" s="1"/>
      <c r="F907" s="1"/>
      <c r="G907" s="1488" t="s">
        <v>2700</v>
      </c>
      <c r="H907" s="4" t="str">
        <f>'BID III'!B435</f>
        <v>Belanja Barang Konsumsi</v>
      </c>
      <c r="I907" s="1"/>
      <c r="J907" s="1"/>
      <c r="K907" s="91">
        <f>SUM('BID III'!F436)</f>
        <v>12000000</v>
      </c>
      <c r="L907" s="1" t="s">
        <v>1845</v>
      </c>
    </row>
    <row r="908" spans="1:13" ht="30" x14ac:dyDescent="0.25">
      <c r="A908" s="1"/>
      <c r="B908" s="1"/>
      <c r="C908" s="1"/>
      <c r="D908" s="1"/>
      <c r="E908" s="1"/>
      <c r="F908" s="1"/>
      <c r="G908" s="1">
        <v>90</v>
      </c>
      <c r="H908" s="4" t="str">
        <f>'BID III'!B437</f>
        <v>Belanja Upakara dan Upacara</v>
      </c>
      <c r="I908" s="1"/>
      <c r="J908" s="1"/>
      <c r="K908" s="91">
        <f>SUM('BID III'!F438)</f>
        <v>14000000</v>
      </c>
      <c r="L908" s="1" t="s">
        <v>1845</v>
      </c>
    </row>
    <row r="909" spans="1:13" x14ac:dyDescent="0.25">
      <c r="A909" s="1"/>
      <c r="B909" s="1"/>
      <c r="C909" s="1"/>
      <c r="D909" s="1">
        <v>5</v>
      </c>
      <c r="E909" s="1">
        <v>2</v>
      </c>
      <c r="F909" s="1">
        <v>4</v>
      </c>
      <c r="G909" s="1"/>
      <c r="H909" s="4" t="str">
        <f>'BID III'!B439</f>
        <v>Belanja Jasa Sewa</v>
      </c>
      <c r="I909" s="1"/>
      <c r="J909" s="1"/>
      <c r="K909" s="91"/>
      <c r="L909" s="1"/>
    </row>
    <row r="910" spans="1:13" ht="30" x14ac:dyDescent="0.25">
      <c r="A910" s="1"/>
      <c r="B910" s="1"/>
      <c r="C910" s="1"/>
      <c r="D910" s="1"/>
      <c r="E910" s="1"/>
      <c r="F910" s="1"/>
      <c r="G910" s="1488" t="s">
        <v>2694</v>
      </c>
      <c r="H910" s="4" t="str">
        <f>'BID III'!B440</f>
        <v>Belanja Jasa Sewa Peralatan/Perlengkapan</v>
      </c>
      <c r="I910" s="1"/>
      <c r="J910" s="1"/>
      <c r="K910" s="91">
        <f>SUM('BID III'!F441:F442)</f>
        <v>1100000</v>
      </c>
      <c r="L910" s="1" t="s">
        <v>1845</v>
      </c>
    </row>
    <row r="911" spans="1:13" ht="45" x14ac:dyDescent="0.25">
      <c r="A911" s="1027">
        <v>3</v>
      </c>
      <c r="B911" s="1027">
        <v>2</v>
      </c>
      <c r="C911" s="1027">
        <v>91</v>
      </c>
      <c r="D911" s="1027"/>
      <c r="E911" s="1027"/>
      <c r="F911" s="1027"/>
      <c r="G911" s="1027"/>
      <c r="H911" s="1028" t="str">
        <f>'BID III'!B457</f>
        <v xml:space="preserve"> : Penunjang Oprasional Subak/Subak Abian (BKKProvinsi)</v>
      </c>
      <c r="I911" s="1027"/>
      <c r="J911" s="1027"/>
      <c r="K911" s="1492">
        <f>K913</f>
        <v>45000000</v>
      </c>
      <c r="L911" s="1027"/>
    </row>
    <row r="912" spans="1:13" x14ac:dyDescent="0.25">
      <c r="A912" s="1"/>
      <c r="B912" s="1"/>
      <c r="C912" s="1"/>
      <c r="D912" s="1">
        <v>5</v>
      </c>
      <c r="E912" s="1">
        <v>2</v>
      </c>
      <c r="F912" s="1"/>
      <c r="G912" s="1"/>
      <c r="H912" s="4" t="str">
        <f>'BID III'!B462</f>
        <v>Belanja Barang Jasa</v>
      </c>
      <c r="I912" s="1"/>
      <c r="J912" s="1"/>
      <c r="K912" s="91"/>
      <c r="L912" s="1"/>
    </row>
    <row r="913" spans="1:13" ht="45" x14ac:dyDescent="0.25">
      <c r="A913" s="1"/>
      <c r="B913" s="1"/>
      <c r="C913" s="1"/>
      <c r="D913" s="1"/>
      <c r="E913" s="1"/>
      <c r="F913" s="1">
        <v>7</v>
      </c>
      <c r="G913" s="1488" t="s">
        <v>2679</v>
      </c>
      <c r="H913" s="4" t="str">
        <f>'BID III'!B463</f>
        <v>Belanja Barang dan Jasa yang Diserahkan Kepada Masyarakat</v>
      </c>
      <c r="I913" s="1"/>
      <c r="J913" s="1"/>
      <c r="K913" s="91">
        <f>SUM('BID III'!F465)</f>
        <v>45000000</v>
      </c>
      <c r="L913" s="4" t="s">
        <v>2597</v>
      </c>
    </row>
    <row r="914" spans="1:13" ht="30" x14ac:dyDescent="0.25">
      <c r="A914" s="1027">
        <v>3</v>
      </c>
      <c r="B914" s="1027">
        <v>2</v>
      </c>
      <c r="C914" s="1027">
        <v>94</v>
      </c>
      <c r="D914" s="1027"/>
      <c r="E914" s="1027"/>
      <c r="F914" s="1027"/>
      <c r="G914" s="1027"/>
      <c r="H914" s="1028" t="str">
        <f>'BID III'!B480</f>
        <v xml:space="preserve"> : Penunjang Oprasional Desa Pakraman(BKK Kota)</v>
      </c>
      <c r="I914" s="1027"/>
      <c r="J914" s="1027"/>
      <c r="K914" s="1492">
        <f>K916</f>
        <v>2030000000</v>
      </c>
      <c r="L914" s="1027"/>
    </row>
    <row r="915" spans="1:13" ht="45" x14ac:dyDescent="0.25">
      <c r="A915" s="1"/>
      <c r="B915" s="1"/>
      <c r="C915" s="1"/>
      <c r="D915" s="1">
        <v>5</v>
      </c>
      <c r="E915" s="1">
        <v>2</v>
      </c>
      <c r="F915" s="1">
        <v>7</v>
      </c>
      <c r="G915" s="1"/>
      <c r="H915" s="4" t="str">
        <f>'BID III'!B485</f>
        <v>Belanja Barang dan Jasa yang Diserahkan Kepada Masyarakat</v>
      </c>
      <c r="I915" s="1"/>
      <c r="J915" s="1"/>
      <c r="K915" s="91"/>
      <c r="L915" s="1"/>
    </row>
    <row r="916" spans="1:13" ht="30" x14ac:dyDescent="0.25">
      <c r="A916" s="1"/>
      <c r="B916" s="1"/>
      <c r="C916" s="1"/>
      <c r="D916" s="1"/>
      <c r="E916" s="1"/>
      <c r="F916" s="1"/>
      <c r="G916" s="1488" t="s">
        <v>2679</v>
      </c>
      <c r="H916" s="4" t="str">
        <f>'BID III'!B486</f>
        <v>Belanaja Barang  Yang Diserahkan</v>
      </c>
      <c r="I916" s="1"/>
      <c r="J916" s="1"/>
      <c r="K916" s="91">
        <f>SUM('BID III'!F487:F488)</f>
        <v>2030000000</v>
      </c>
      <c r="L916" s="4" t="s">
        <v>1605</v>
      </c>
    </row>
    <row r="917" spans="1:13" ht="30" x14ac:dyDescent="0.25">
      <c r="A917" s="1027">
        <v>3</v>
      </c>
      <c r="B917" s="1027">
        <v>2</v>
      </c>
      <c r="C917" s="1027">
        <v>95</v>
      </c>
      <c r="D917" s="1027"/>
      <c r="E917" s="1027"/>
      <c r="F917" s="1027"/>
      <c r="G917" s="1027"/>
      <c r="H917" s="1028" t="str">
        <f>'BID III'!B503</f>
        <v>: Kegiatan Bakti Penganyaran</v>
      </c>
      <c r="I917" s="1027"/>
      <c r="J917" s="1027"/>
      <c r="K917" s="1492">
        <f>K920</f>
        <v>225000000</v>
      </c>
      <c r="L917" s="1027"/>
      <c r="M917" s="36">
        <f>'BID III'!F536</f>
        <v>225000000</v>
      </c>
    </row>
    <row r="918" spans="1:13" x14ac:dyDescent="0.25">
      <c r="A918" s="1"/>
      <c r="B918" s="1"/>
      <c r="C918" s="1"/>
      <c r="D918" s="1">
        <v>5</v>
      </c>
      <c r="E918" s="1">
        <v>2</v>
      </c>
      <c r="F918" s="1"/>
      <c r="G918" s="1"/>
      <c r="H918" s="4" t="str">
        <f>'BID III'!B511</f>
        <v xml:space="preserve">Belanja Barang dan Jasa </v>
      </c>
      <c r="I918" s="1"/>
      <c r="J918" s="1"/>
      <c r="K918" s="91"/>
      <c r="L918" s="1"/>
    </row>
    <row r="919" spans="1:13" x14ac:dyDescent="0.25">
      <c r="A919" s="1"/>
      <c r="B919" s="1"/>
      <c r="C919" s="1"/>
      <c r="D919" s="1"/>
      <c r="E919" s="1"/>
      <c r="F919" s="1">
        <v>4</v>
      </c>
      <c r="G919" s="1"/>
      <c r="H919" s="4" t="str">
        <f>'BID III'!B512</f>
        <v xml:space="preserve">Belanja Jasa Sewa </v>
      </c>
      <c r="I919" s="1"/>
      <c r="J919" s="1"/>
      <c r="K919" s="91"/>
      <c r="L919" s="1"/>
    </row>
    <row r="920" spans="1:13" ht="45" x14ac:dyDescent="0.25">
      <c r="A920" s="1"/>
      <c r="B920" s="1"/>
      <c r="C920" s="1"/>
      <c r="D920" s="1"/>
      <c r="E920" s="1"/>
      <c r="F920" s="1"/>
      <c r="G920" s="1488" t="s">
        <v>2696</v>
      </c>
      <c r="H920" s="4" t="str">
        <f>'BID III'!B513</f>
        <v>Belanja Jasa Sewa Sarana Mobilitas</v>
      </c>
      <c r="I920" s="1"/>
      <c r="J920" s="1"/>
      <c r="K920" s="91">
        <f>SUM('BID III'!F514:F534)</f>
        <v>225000000</v>
      </c>
      <c r="L920" s="4" t="s">
        <v>2710</v>
      </c>
    </row>
    <row r="921" spans="1:13" ht="165" x14ac:dyDescent="0.25">
      <c r="A921" s="1027">
        <v>3</v>
      </c>
      <c r="B921" s="1027">
        <v>3</v>
      </c>
      <c r="C921" s="1491" t="s">
        <v>2694</v>
      </c>
      <c r="D921" s="1027"/>
      <c r="E921" s="1027"/>
      <c r="F921" s="1027"/>
      <c r="G921" s="1027"/>
      <c r="H921" s="1028" t="str">
        <f>'BID III'!B550</f>
        <v xml:space="preserve">: Penyelenggaraan Pelatihan Kepemudaan  ( Pelatihan dan Lomba Menggambar Karakter Bung Karno Tingkat SMP, Menyanyikan Lagu Wajib Kebangsaan Tingkat SD, Membaca Undang-undang Dasar 45 Tingkat SD Dalam Rangka Bulan Bung Karno Tahun 2025 ) </v>
      </c>
      <c r="I921" s="1027"/>
      <c r="J921" s="1027"/>
      <c r="K921" s="1492">
        <f>SUM(K922:K944)</f>
        <v>35874000</v>
      </c>
      <c r="L921" s="1027"/>
      <c r="M921" s="32">
        <f>'BID III'!F619</f>
        <v>35874000</v>
      </c>
    </row>
    <row r="922" spans="1:13" x14ac:dyDescent="0.25">
      <c r="A922" s="1"/>
      <c r="B922" s="1"/>
      <c r="C922" s="1"/>
      <c r="D922" s="1">
        <v>5</v>
      </c>
      <c r="E922" s="1">
        <v>2</v>
      </c>
      <c r="F922" s="1"/>
      <c r="G922" s="1"/>
      <c r="H922" s="4" t="str">
        <f>'BID III'!B555</f>
        <v>Belanja Barang Jasa</v>
      </c>
      <c r="I922" s="1"/>
      <c r="J922" s="1"/>
      <c r="K922" s="91"/>
      <c r="L922" s="1"/>
      <c r="M922" s="32">
        <f>K921-M921</f>
        <v>0</v>
      </c>
    </row>
    <row r="923" spans="1:13" ht="30" x14ac:dyDescent="0.25">
      <c r="A923" s="1"/>
      <c r="B923" s="1"/>
      <c r="C923" s="1"/>
      <c r="D923" s="1"/>
      <c r="E923" s="1"/>
      <c r="F923" s="1">
        <v>1</v>
      </c>
      <c r="G923" s="1"/>
      <c r="H923" s="4" t="str">
        <f>'BID III'!B556</f>
        <v>Belanja Barang Perlengkapan</v>
      </c>
      <c r="I923" s="1"/>
      <c r="J923" s="1"/>
      <c r="K923" s="91"/>
      <c r="L923" s="1"/>
    </row>
    <row r="924" spans="1:13" ht="30" x14ac:dyDescent="0.25">
      <c r="A924" s="1"/>
      <c r="B924" s="1"/>
      <c r="C924" s="1"/>
      <c r="D924" s="1"/>
      <c r="E924" s="1"/>
      <c r="F924" s="1"/>
      <c r="G924" s="1488" t="s">
        <v>2700</v>
      </c>
      <c r="H924" s="4" t="str">
        <f>'BID III'!B557</f>
        <v>Belanja Perlengkapan Barang Konsumsi</v>
      </c>
      <c r="I924" s="1"/>
      <c r="J924" s="1"/>
      <c r="K924" s="91">
        <f>SUM('BID III'!F558:F561)</f>
        <v>4905000</v>
      </c>
      <c r="L924" s="4" t="s">
        <v>2571</v>
      </c>
    </row>
    <row r="925" spans="1:13" ht="30" x14ac:dyDescent="0.25">
      <c r="A925" s="1"/>
      <c r="B925" s="1"/>
      <c r="C925" s="1"/>
      <c r="D925" s="1"/>
      <c r="E925" s="1"/>
      <c r="F925" s="1"/>
      <c r="G925" s="1488" t="s">
        <v>2701</v>
      </c>
      <c r="H925" s="4" t="str">
        <f>'BID III'!B562</f>
        <v>Belanja Bahan Material</v>
      </c>
      <c r="I925" s="1"/>
      <c r="J925" s="1"/>
      <c r="K925" s="91">
        <f>SUM('BID III'!F563:F568)</f>
        <v>592000</v>
      </c>
      <c r="L925" s="4" t="s">
        <v>2571</v>
      </c>
    </row>
    <row r="926" spans="1:13" ht="30" x14ac:dyDescent="0.25">
      <c r="A926" s="1"/>
      <c r="B926" s="1"/>
      <c r="C926" s="1"/>
      <c r="D926" s="1"/>
      <c r="E926" s="1"/>
      <c r="F926" s="1"/>
      <c r="G926" s="1488" t="s">
        <v>2702</v>
      </c>
      <c r="H926" s="4" t="str">
        <f>'BID III'!B569</f>
        <v>Belanja Bendera/Umbul - umbul/Spanduk</v>
      </c>
      <c r="I926" s="1"/>
      <c r="J926" s="1"/>
      <c r="K926" s="91">
        <f>'BID III'!F570</f>
        <v>270000</v>
      </c>
      <c r="L926" s="4" t="s">
        <v>2571</v>
      </c>
    </row>
    <row r="927" spans="1:13" ht="30" x14ac:dyDescent="0.25">
      <c r="A927" s="1"/>
      <c r="B927" s="1"/>
      <c r="C927" s="1"/>
      <c r="D927" s="1"/>
      <c r="E927" s="1"/>
      <c r="F927" s="1"/>
      <c r="G927" s="1">
        <v>90</v>
      </c>
      <c r="H927" s="4" t="str">
        <f>'BID III'!B571</f>
        <v>Belanja Upakara, Upacara Dan Aci</v>
      </c>
      <c r="I927" s="1"/>
      <c r="J927" s="1"/>
      <c r="K927" s="91">
        <f>SUM('BID III'!F572:F575)</f>
        <v>145000</v>
      </c>
      <c r="L927" s="4" t="s">
        <v>2571</v>
      </c>
    </row>
    <row r="928" spans="1:13" x14ac:dyDescent="0.25">
      <c r="A928" s="1"/>
      <c r="B928" s="1"/>
      <c r="C928" s="1"/>
      <c r="D928" s="1">
        <v>5</v>
      </c>
      <c r="E928" s="1">
        <v>2</v>
      </c>
      <c r="F928" s="1">
        <v>2</v>
      </c>
      <c r="G928" s="1"/>
      <c r="H928" s="4" t="str">
        <f>'BID III'!B576</f>
        <v>Belanja Jasa Honorarium</v>
      </c>
      <c r="I928" s="1"/>
      <c r="J928" s="1"/>
      <c r="K928" s="91"/>
      <c r="L928" s="1"/>
    </row>
    <row r="929" spans="1:13" ht="60" x14ac:dyDescent="0.25">
      <c r="A929" s="1"/>
      <c r="B929" s="1"/>
      <c r="C929" s="1"/>
      <c r="D929" s="1"/>
      <c r="E929" s="1"/>
      <c r="F929" s="1"/>
      <c r="G929" s="1488" t="s">
        <v>2697</v>
      </c>
      <c r="H929" s="4" t="str">
        <f>'BID III'!B577</f>
        <v>Belanja Jasa Honorarium Ahli Profesi/Konsultan/Narasumber</v>
      </c>
      <c r="I929" s="1"/>
      <c r="J929" s="1"/>
      <c r="K929" s="91">
        <f>SUM('BID III'!F578:F580)</f>
        <v>7450000</v>
      </c>
      <c r="L929" s="4" t="s">
        <v>2571</v>
      </c>
    </row>
    <row r="930" spans="1:13" ht="45" x14ac:dyDescent="0.25">
      <c r="A930" s="1"/>
      <c r="B930" s="1"/>
      <c r="C930" s="1"/>
      <c r="D930" s="1">
        <v>5</v>
      </c>
      <c r="E930" s="1">
        <v>2</v>
      </c>
      <c r="F930" s="1">
        <v>7</v>
      </c>
      <c r="G930" s="1"/>
      <c r="H930" s="4" t="str">
        <f>'BID III'!B581</f>
        <v>Belanja Barang dan Jasa yang Diserahkan Kepada Masyarakat</v>
      </c>
      <c r="I930" s="1"/>
      <c r="J930" s="1"/>
      <c r="K930" s="91"/>
      <c r="L930" s="1"/>
    </row>
    <row r="931" spans="1:13" ht="30" x14ac:dyDescent="0.25">
      <c r="A931" s="1"/>
      <c r="B931" s="1"/>
      <c r="C931" s="1"/>
      <c r="D931" s="1"/>
      <c r="E931" s="1"/>
      <c r="F931" s="1"/>
      <c r="G931" s="1">
        <v>90</v>
      </c>
      <c r="H931" s="4" t="str">
        <f>'BID III'!B582</f>
        <v>Belanja Jasa Atlit dan Seniman Berprestasi</v>
      </c>
      <c r="I931" s="1"/>
      <c r="J931" s="1"/>
      <c r="K931" s="91">
        <f>SUM('BID III'!F584:F592)</f>
        <v>10560000</v>
      </c>
      <c r="L931" s="4" t="s">
        <v>2571</v>
      </c>
    </row>
    <row r="932" spans="1:13" x14ac:dyDescent="0.25">
      <c r="A932" s="1"/>
      <c r="B932" s="1"/>
      <c r="C932" s="1"/>
      <c r="D932" s="1">
        <v>5</v>
      </c>
      <c r="E932" s="1">
        <v>2</v>
      </c>
      <c r="F932" s="1">
        <v>4</v>
      </c>
      <c r="G932" s="1"/>
      <c r="H932" s="4" t="str">
        <f>'BID III'!B593</f>
        <v>Belanja Jasa Sewa</v>
      </c>
      <c r="I932" s="1"/>
      <c r="J932" s="1"/>
      <c r="K932" s="91"/>
      <c r="L932" s="1"/>
    </row>
    <row r="933" spans="1:13" ht="30" x14ac:dyDescent="0.25">
      <c r="A933" s="1"/>
      <c r="B933" s="1"/>
      <c r="C933" s="1"/>
      <c r="D933" s="1"/>
      <c r="E933" s="1"/>
      <c r="F933" s="1"/>
      <c r="G933" s="1488" t="s">
        <v>2679</v>
      </c>
      <c r="H933" s="4" t="str">
        <f>'BID III'!B594</f>
        <v>Belanja Jasa Sewa Peralatan perlengkapan</v>
      </c>
      <c r="I933" s="1"/>
      <c r="J933" s="1"/>
      <c r="K933" s="91">
        <f>'BID III'!F595</f>
        <v>1000000</v>
      </c>
      <c r="L933" s="4" t="s">
        <v>2571</v>
      </c>
    </row>
    <row r="934" spans="1:13" ht="180" x14ac:dyDescent="0.25">
      <c r="A934" s="1"/>
      <c r="B934" s="1"/>
      <c r="C934" s="1"/>
      <c r="D934" s="1"/>
      <c r="E934" s="1"/>
      <c r="F934" s="1"/>
      <c r="G934" s="1"/>
      <c r="H934" s="4" t="str">
        <f>'BID III'!B596</f>
        <v>Pengiriman Peserta Lomba Menggambar Karakter Bung Karno Tingkat SMP 2 Orang, Lomba Menyanyikan Lagu Wajib Kebangsaan Tingkat SD 2 Orang, Lomba Membaca Pembukaan Undang-undang Dasar 45 Tingkat SD 2 Orang di Tingkat Kecamatan</v>
      </c>
      <c r="I934" s="1"/>
      <c r="J934" s="1"/>
      <c r="K934" s="118"/>
      <c r="L934" s="1"/>
      <c r="M934" s="32">
        <f>'BID III'!F619</f>
        <v>35874000</v>
      </c>
    </row>
    <row r="935" spans="1:13" x14ac:dyDescent="0.25">
      <c r="A935" s="1"/>
      <c r="B935" s="1"/>
      <c r="C935" s="1"/>
      <c r="D935" s="1">
        <v>5</v>
      </c>
      <c r="E935" s="1">
        <v>2</v>
      </c>
      <c r="F935" s="1"/>
      <c r="G935" s="1"/>
      <c r="H935" s="4" t="str">
        <f>'BID III'!B597</f>
        <v>Belanja Barang Jasa</v>
      </c>
      <c r="I935" s="1"/>
      <c r="J935" s="1"/>
      <c r="K935" s="118"/>
      <c r="L935" s="1"/>
    </row>
    <row r="936" spans="1:13" ht="30" x14ac:dyDescent="0.25">
      <c r="A936" s="1"/>
      <c r="B936" s="1"/>
      <c r="C936" s="1"/>
      <c r="D936" s="1"/>
      <c r="E936" s="1"/>
      <c r="F936" s="1">
        <v>1</v>
      </c>
      <c r="G936" s="1"/>
      <c r="H936" s="4" t="str">
        <f>'BID III'!B598</f>
        <v>Belanja Barang Perlengkapan</v>
      </c>
      <c r="I936" s="1"/>
      <c r="J936" s="1"/>
      <c r="K936" s="118"/>
      <c r="L936" s="1"/>
    </row>
    <row r="937" spans="1:13" ht="45" x14ac:dyDescent="0.25">
      <c r="A937" s="1"/>
      <c r="B937" s="1"/>
      <c r="C937" s="1"/>
      <c r="D937" s="1"/>
      <c r="E937" s="1"/>
      <c r="F937" s="1"/>
      <c r="G937" s="1488" t="s">
        <v>2679</v>
      </c>
      <c r="H937" s="4" t="str">
        <f>'BID III'!B599</f>
        <v>Belanja Barang Perlengkapan Barang Konsumsi</v>
      </c>
      <c r="I937" s="1"/>
      <c r="J937" s="1"/>
      <c r="K937" s="118">
        <f>SUM('BID III'!F600:F601)</f>
        <v>1800000</v>
      </c>
      <c r="L937" s="4" t="s">
        <v>2571</v>
      </c>
    </row>
    <row r="938" spans="1:13" ht="30" x14ac:dyDescent="0.25">
      <c r="A938" s="1"/>
      <c r="B938" s="1"/>
      <c r="C938" s="1"/>
      <c r="D938" s="1"/>
      <c r="E938" s="1"/>
      <c r="F938" s="1"/>
      <c r="G938" s="1488" t="s">
        <v>2701</v>
      </c>
      <c r="H938" s="1" t="str">
        <f>'BID III'!B602</f>
        <v>Belanja Bahan Material</v>
      </c>
      <c r="I938" s="1"/>
      <c r="J938" s="1"/>
      <c r="K938" s="118">
        <f>SUM('BID III'!F603:F608)</f>
        <v>3202000</v>
      </c>
      <c r="L938" s="4" t="s">
        <v>2571</v>
      </c>
    </row>
    <row r="939" spans="1:13" ht="30" x14ac:dyDescent="0.25">
      <c r="A939" s="1"/>
      <c r="B939" s="1"/>
      <c r="C939" s="1"/>
      <c r="D939" s="1"/>
      <c r="E939" s="1"/>
      <c r="F939" s="1"/>
      <c r="G939" s="1488" t="s">
        <v>2702</v>
      </c>
      <c r="H939" s="4" t="str">
        <f>'BID III'!B569</f>
        <v>Belanja Bendera/Umbul - umbul/Spanduk</v>
      </c>
      <c r="I939" s="1"/>
      <c r="J939" s="1"/>
      <c r="K939" s="118"/>
      <c r="L939" s="1"/>
    </row>
    <row r="940" spans="1:13" x14ac:dyDescent="0.25">
      <c r="A940" s="1"/>
      <c r="B940" s="1"/>
      <c r="C940" s="1"/>
      <c r="D940" s="1">
        <v>5</v>
      </c>
      <c r="E940" s="1">
        <v>2</v>
      </c>
      <c r="F940" s="1">
        <v>2</v>
      </c>
      <c r="G940" s="1"/>
      <c r="H940" s="1" t="str">
        <f>'BID III'!B609</f>
        <v>Belanja Honorarium</v>
      </c>
      <c r="I940" s="1"/>
      <c r="J940" s="1"/>
      <c r="K940" s="91"/>
      <c r="L940" s="1"/>
    </row>
    <row r="941" spans="1:13" ht="30" x14ac:dyDescent="0.25">
      <c r="A941" s="1"/>
      <c r="B941" s="1"/>
      <c r="C941" s="1"/>
      <c r="D941" s="1"/>
      <c r="E941" s="1"/>
      <c r="F941" s="1"/>
      <c r="G941" s="1488" t="s">
        <v>2697</v>
      </c>
      <c r="H941" s="4" t="str">
        <f>'BID III'!B610</f>
        <v>Belanja Honorarium Pelatih</v>
      </c>
      <c r="I941" s="1"/>
      <c r="J941" s="1"/>
      <c r="K941" s="91">
        <f>SUM('BID III'!F611)</f>
        <v>4500000</v>
      </c>
      <c r="L941" s="4" t="s">
        <v>2571</v>
      </c>
    </row>
    <row r="942" spans="1:13" ht="45" x14ac:dyDescent="0.25">
      <c r="A942" s="1"/>
      <c r="B942" s="1"/>
      <c r="C942" s="1"/>
      <c r="D942" s="1"/>
      <c r="E942" s="1"/>
      <c r="F942" s="1"/>
      <c r="G942" s="1488" t="s">
        <v>2679</v>
      </c>
      <c r="H942" s="4" t="str">
        <f>'BID III'!B612</f>
        <v>Belanja Jasa Honor Tim yang Melaksanakan Kegiatan</v>
      </c>
      <c r="I942" s="1"/>
      <c r="J942" s="1"/>
      <c r="K942" s="91">
        <f>SUM('BID III'!F613:F615)</f>
        <v>1150000</v>
      </c>
      <c r="L942" s="4" t="s">
        <v>2571</v>
      </c>
    </row>
    <row r="943" spans="1:13" ht="45" x14ac:dyDescent="0.25">
      <c r="A943" s="1"/>
      <c r="B943" s="1"/>
      <c r="C943" s="1"/>
      <c r="D943" s="1">
        <v>5</v>
      </c>
      <c r="E943" s="1">
        <v>2</v>
      </c>
      <c r="F943" s="1">
        <v>7</v>
      </c>
      <c r="G943" s="1"/>
      <c r="H943" s="4" t="str">
        <f>'BID III'!B616</f>
        <v>Belanja Barang dan Jasa yang Diserahkan Kepada Masyarakat</v>
      </c>
      <c r="I943" s="1"/>
      <c r="J943" s="1"/>
      <c r="K943" s="91"/>
      <c r="L943" s="1"/>
    </row>
    <row r="944" spans="1:13" ht="30" x14ac:dyDescent="0.25">
      <c r="A944" s="1"/>
      <c r="B944" s="1"/>
      <c r="C944" s="1"/>
      <c r="D944" s="1"/>
      <c r="E944" s="1"/>
      <c r="F944" s="1"/>
      <c r="G944" s="1">
        <v>91</v>
      </c>
      <c r="H944" s="4" t="str">
        <f>'BID III'!B617</f>
        <v>Uang Saku Peserta Lomba ( 6 or x 1 Kl )</v>
      </c>
      <c r="I944" s="1"/>
      <c r="J944" s="1"/>
      <c r="K944" s="91">
        <f>'BID III'!F617</f>
        <v>300000</v>
      </c>
      <c r="L944" s="4" t="s">
        <v>2571</v>
      </c>
    </row>
    <row r="945" spans="1:13" ht="105" x14ac:dyDescent="0.25">
      <c r="A945" s="1027">
        <v>3</v>
      </c>
      <c r="B945" s="1027">
        <v>3</v>
      </c>
      <c r="C945" s="1491" t="s">
        <v>2694</v>
      </c>
      <c r="D945" s="1027"/>
      <c r="E945" s="1027"/>
      <c r="F945" s="1027"/>
      <c r="G945" s="1027"/>
      <c r="H945" s="1028" t="str">
        <f>'BID III'!B632</f>
        <v>: Lomba Yel-Yel Bung Karno Tingkat Guru Paud, Lomba Kuis Siapa Bisa Tingkat PKK dan Lomba Cerdas Cermat Tingkat SMP di Tingkat Kecamatan</v>
      </c>
      <c r="I945" s="1027"/>
      <c r="J945" s="1027"/>
      <c r="K945" s="1492">
        <f>SUM(K946:K973)</f>
        <v>59400000</v>
      </c>
      <c r="L945" s="1027"/>
      <c r="M945" s="32">
        <f>'BID III'!F687</f>
        <v>59400000</v>
      </c>
    </row>
    <row r="946" spans="1:13" ht="60" x14ac:dyDescent="0.25">
      <c r="A946" s="1"/>
      <c r="B946" s="1"/>
      <c r="C946" s="1"/>
      <c r="D946" s="1"/>
      <c r="E946" s="1"/>
      <c r="F946" s="1"/>
      <c r="G946" s="1"/>
      <c r="H946" s="4" t="str">
        <f>'BID III'!B637</f>
        <v xml:space="preserve">Pengiriman 1 Regu Peserta Lomba Yel-Yel Bung Karno Tingkat Guru Paud  ( 1 Regu 11 Orang ) </v>
      </c>
      <c r="I946" s="1"/>
      <c r="J946" s="1"/>
      <c r="K946" s="91"/>
      <c r="L946" s="1"/>
      <c r="M946" s="32">
        <f>K945-M945</f>
        <v>0</v>
      </c>
    </row>
    <row r="947" spans="1:13" x14ac:dyDescent="0.25">
      <c r="A947" s="1"/>
      <c r="B947" s="1"/>
      <c r="C947" s="1"/>
      <c r="D947" s="1">
        <v>5</v>
      </c>
      <c r="E947" s="1">
        <v>2</v>
      </c>
      <c r="F947" s="1"/>
      <c r="G947" s="1"/>
      <c r="H947" s="4" t="str">
        <f>'BID III'!B638</f>
        <v>Belanja Barang Jasa</v>
      </c>
      <c r="I947" s="1"/>
      <c r="J947" s="1"/>
      <c r="K947" s="91"/>
      <c r="L947" s="1"/>
    </row>
    <row r="948" spans="1:13" ht="30" x14ac:dyDescent="0.25">
      <c r="A948" s="1"/>
      <c r="B948" s="1"/>
      <c r="C948" s="1"/>
      <c r="D948" s="1"/>
      <c r="E948" s="1"/>
      <c r="F948" s="1">
        <v>1</v>
      </c>
      <c r="G948" s="1"/>
      <c r="H948" s="4" t="str">
        <f>'BID III'!B639</f>
        <v>Belanja Barang Perlengkapan</v>
      </c>
      <c r="I948" s="1"/>
      <c r="J948" s="1"/>
      <c r="K948" s="91"/>
      <c r="L948" s="1"/>
    </row>
    <row r="949" spans="1:13" ht="45" x14ac:dyDescent="0.25">
      <c r="A949" s="1"/>
      <c r="B949" s="1"/>
      <c r="C949" s="1"/>
      <c r="D949" s="1"/>
      <c r="E949" s="1"/>
      <c r="F949" s="1"/>
      <c r="G949" s="1488" t="s">
        <v>2700</v>
      </c>
      <c r="H949" s="4" t="str">
        <f>'BID III'!B640</f>
        <v>Belanja Barang Perlengkapan Barang Konsumsi</v>
      </c>
      <c r="I949" s="1"/>
      <c r="J949" s="1"/>
      <c r="K949" s="91">
        <f>SUM('BID III'!F641:F642)</f>
        <v>5250000</v>
      </c>
      <c r="L949" s="4" t="s">
        <v>2571</v>
      </c>
    </row>
    <row r="950" spans="1:13" ht="30" x14ac:dyDescent="0.25">
      <c r="A950" s="1"/>
      <c r="B950" s="1"/>
      <c r="C950" s="1"/>
      <c r="D950" s="1"/>
      <c r="E950" s="1"/>
      <c r="F950" s="1"/>
      <c r="G950" s="1488" t="s">
        <v>2701</v>
      </c>
      <c r="H950" s="1" t="str">
        <f>'BID III'!B643</f>
        <v>Belanja Bahan Material</v>
      </c>
      <c r="I950" s="1"/>
      <c r="J950" s="1"/>
      <c r="K950" s="91">
        <f>SUM('BID III'!F644:F645)</f>
        <v>5500000</v>
      </c>
      <c r="L950" s="4" t="s">
        <v>2571</v>
      </c>
    </row>
    <row r="951" spans="1:13" x14ac:dyDescent="0.25">
      <c r="A951" s="1"/>
      <c r="B951" s="1"/>
      <c r="C951" s="1"/>
      <c r="D951" s="1">
        <v>5</v>
      </c>
      <c r="E951" s="1">
        <v>2</v>
      </c>
      <c r="F951" s="1">
        <v>2</v>
      </c>
      <c r="G951" s="1"/>
      <c r="H951" s="4" t="str">
        <f>'BID III'!B646</f>
        <v>Belanja Honorarium</v>
      </c>
      <c r="I951" s="1"/>
      <c r="J951" s="1"/>
      <c r="K951" s="91"/>
      <c r="L951" s="1"/>
    </row>
    <row r="952" spans="1:13" ht="60" x14ac:dyDescent="0.25">
      <c r="A952" s="1"/>
      <c r="B952" s="1"/>
      <c r="C952" s="1"/>
      <c r="D952" s="1"/>
      <c r="E952" s="1"/>
      <c r="F952" s="1"/>
      <c r="G952" s="1488" t="s">
        <v>2697</v>
      </c>
      <c r="H952" s="4" t="str">
        <f>'BID III'!B647</f>
        <v>Belanja Jasa Honorarium Ahli Profesi/Konsultan/Narasumber</v>
      </c>
      <c r="I952" s="1"/>
      <c r="J952" s="1"/>
      <c r="K952" s="91">
        <f>SUM('BID III'!F648:F649)</f>
        <v>13000000</v>
      </c>
      <c r="L952" s="4" t="s">
        <v>2571</v>
      </c>
    </row>
    <row r="953" spans="1:13" ht="45" x14ac:dyDescent="0.25">
      <c r="A953" s="1"/>
      <c r="B953" s="1"/>
      <c r="C953" s="1"/>
      <c r="D953" s="1">
        <v>5</v>
      </c>
      <c r="E953" s="1">
        <v>2</v>
      </c>
      <c r="F953" s="1">
        <v>7</v>
      </c>
      <c r="G953" s="1"/>
      <c r="H953" s="4" t="str">
        <f>'BID III'!B650</f>
        <v>Belanja Barang dan Jasa yang Diserahkan Kepada Masyarakat</v>
      </c>
      <c r="I953" s="1"/>
      <c r="J953" s="1"/>
      <c r="K953" s="91"/>
      <c r="L953" s="1"/>
    </row>
    <row r="954" spans="1:13" ht="30" x14ac:dyDescent="0.25">
      <c r="A954" s="1"/>
      <c r="B954" s="1"/>
      <c r="C954" s="1"/>
      <c r="D954" s="1"/>
      <c r="E954" s="1"/>
      <c r="F954" s="1"/>
      <c r="G954" s="1">
        <v>91</v>
      </c>
      <c r="H954" s="4" t="str">
        <f>'BID III'!B651</f>
        <v>Uang Saku Peserta Lomba ( 11 or x 2 Kl )</v>
      </c>
      <c r="I954" s="1"/>
      <c r="J954" s="1"/>
      <c r="K954" s="91">
        <f>SUM('BID III'!F651)</f>
        <v>1100000</v>
      </c>
      <c r="L954" s="4" t="s">
        <v>2571</v>
      </c>
    </row>
    <row r="955" spans="1:13" ht="60" x14ac:dyDescent="0.25">
      <c r="A955" s="1"/>
      <c r="B955" s="1"/>
      <c r="C955" s="1"/>
      <c r="D955" s="1"/>
      <c r="E955" s="1"/>
      <c r="F955" s="1"/>
      <c r="G955" s="1"/>
      <c r="H955" s="4" t="str">
        <f>'BID III'!B652</f>
        <v>Pengiriman 1 Kelompok  Peserta Lomba Kuis Siapa Bisa Tingkat PKK ( 1 Kelompok 4 Orang )</v>
      </c>
      <c r="I955" s="1"/>
      <c r="J955" s="1"/>
      <c r="K955" s="91"/>
      <c r="L955" s="1"/>
    </row>
    <row r="956" spans="1:13" x14ac:dyDescent="0.25">
      <c r="A956" s="1"/>
      <c r="B956" s="1"/>
      <c r="C956" s="1"/>
      <c r="D956" s="1">
        <v>5</v>
      </c>
      <c r="E956" s="1">
        <v>2</v>
      </c>
      <c r="F956" s="1"/>
      <c r="G956" s="1"/>
      <c r="H956" s="4" t="str">
        <f>'BID III'!B653</f>
        <v>Belanja Barang Jasa</v>
      </c>
      <c r="I956" s="1"/>
      <c r="J956" s="1"/>
      <c r="K956" s="91"/>
      <c r="L956" s="1"/>
    </row>
    <row r="957" spans="1:13" ht="30" x14ac:dyDescent="0.25">
      <c r="A957" s="1"/>
      <c r="B957" s="1"/>
      <c r="C957" s="1"/>
      <c r="D957" s="1"/>
      <c r="E957" s="1"/>
      <c r="F957" s="1">
        <v>1</v>
      </c>
      <c r="G957" s="1"/>
      <c r="H957" s="4" t="str">
        <f>'BID III'!B654</f>
        <v>Belanja Barang Perlengkapan</v>
      </c>
      <c r="I957" s="1"/>
      <c r="J957" s="1"/>
      <c r="K957" s="91"/>
      <c r="L957" s="1"/>
    </row>
    <row r="958" spans="1:13" ht="45" x14ac:dyDescent="0.25">
      <c r="A958" s="1"/>
      <c r="B958" s="1"/>
      <c r="C958" s="1"/>
      <c r="D958" s="1"/>
      <c r="E958" s="1"/>
      <c r="F958" s="1"/>
      <c r="G958" s="1488" t="s">
        <v>2679</v>
      </c>
      <c r="H958" s="4" t="str">
        <f>'BID III'!B655</f>
        <v>Belanja Barang Perlengkapan Barang Konsumsi</v>
      </c>
      <c r="I958" s="1"/>
      <c r="J958" s="1"/>
      <c r="K958" s="91">
        <f>SUM('BID III'!F656:F657)</f>
        <v>3750000</v>
      </c>
      <c r="L958" s="4" t="s">
        <v>2571</v>
      </c>
    </row>
    <row r="959" spans="1:13" ht="30" x14ac:dyDescent="0.25">
      <c r="A959" s="1"/>
      <c r="B959" s="1"/>
      <c r="C959" s="1"/>
      <c r="D959" s="1"/>
      <c r="E959" s="1"/>
      <c r="F959" s="1"/>
      <c r="G959" s="1488" t="s">
        <v>2701</v>
      </c>
      <c r="H959" s="4" t="str">
        <f>'BID III'!B658</f>
        <v>Belanja Bahan Material</v>
      </c>
      <c r="I959" s="1"/>
      <c r="J959" s="1"/>
      <c r="K959" s="91">
        <f>SUM('BID III'!F659:F660)</f>
        <v>4950000</v>
      </c>
      <c r="L959" s="4" t="s">
        <v>2571</v>
      </c>
    </row>
    <row r="960" spans="1:13" x14ac:dyDescent="0.25">
      <c r="A960" s="1"/>
      <c r="B960" s="1"/>
      <c r="C960" s="1"/>
      <c r="D960" s="1">
        <v>5</v>
      </c>
      <c r="E960" s="1">
        <v>2</v>
      </c>
      <c r="F960" s="1">
        <v>2</v>
      </c>
      <c r="G960" s="1"/>
      <c r="H960" s="4" t="str">
        <f>'BID III'!B661</f>
        <v>Belanja Honorarium</v>
      </c>
      <c r="I960" s="1"/>
      <c r="J960" s="1"/>
      <c r="K960" s="91"/>
      <c r="L960" s="1"/>
    </row>
    <row r="961" spans="1:13" ht="60" x14ac:dyDescent="0.25">
      <c r="A961" s="1"/>
      <c r="B961" s="1"/>
      <c r="C961" s="1"/>
      <c r="D961" s="1"/>
      <c r="E961" s="1"/>
      <c r="F961" s="1"/>
      <c r="G961" s="1488" t="s">
        <v>2697</v>
      </c>
      <c r="H961" s="4" t="str">
        <f>'BID III'!B662</f>
        <v>Belanja Jasa Honorarium Ahli Profesi/Konsultan/Narasumber</v>
      </c>
      <c r="I961" s="1"/>
      <c r="J961" s="1"/>
      <c r="K961" s="91">
        <f>SUM('BID III'!F663:F664)</f>
        <v>13000000</v>
      </c>
      <c r="L961" s="4" t="s">
        <v>2571</v>
      </c>
      <c r="M961" s="32"/>
    </row>
    <row r="962" spans="1:13" ht="45" x14ac:dyDescent="0.25">
      <c r="A962" s="1"/>
      <c r="B962" s="1"/>
      <c r="C962" s="1"/>
      <c r="D962" s="1">
        <v>5</v>
      </c>
      <c r="E962" s="1">
        <v>2</v>
      </c>
      <c r="F962" s="1">
        <v>7</v>
      </c>
      <c r="G962" s="1"/>
      <c r="H962" s="4" t="str">
        <f>'BID III'!B665</f>
        <v>Belanja Barang dan Jasa yang Diserahkan Kepada Masyarakat</v>
      </c>
      <c r="I962" s="1"/>
      <c r="J962" s="1"/>
      <c r="K962" s="91"/>
      <c r="L962" s="1"/>
      <c r="M962" s="32"/>
    </row>
    <row r="963" spans="1:13" ht="30" x14ac:dyDescent="0.25">
      <c r="A963" s="1"/>
      <c r="B963" s="1"/>
      <c r="C963" s="1"/>
      <c r="D963" s="1"/>
      <c r="E963" s="1"/>
      <c r="F963" s="1"/>
      <c r="G963" s="1">
        <v>91</v>
      </c>
      <c r="H963" s="4" t="str">
        <f>'BID III'!B666</f>
        <v>Uang Saku Peserta Lomba  ( 11 or x 1 Kl )</v>
      </c>
      <c r="I963" s="1"/>
      <c r="J963" s="1"/>
      <c r="K963" s="91">
        <f>'BID III'!F666</f>
        <v>550000</v>
      </c>
      <c r="L963" s="4" t="s">
        <v>2571</v>
      </c>
      <c r="M963" s="32"/>
    </row>
    <row r="964" spans="1:13" ht="60" x14ac:dyDescent="0.25">
      <c r="A964" s="1"/>
      <c r="B964" s="1"/>
      <c r="C964" s="1"/>
      <c r="D964" s="1"/>
      <c r="E964" s="1"/>
      <c r="F964" s="1"/>
      <c r="G964" s="1"/>
      <c r="H964" s="4" t="str">
        <f>'BID III'!B667</f>
        <v>Pengiriman 1 Kelompok Peserta Lomba Cerdas Cermat Tingkat SMP ( 1 Kelompok 4 Orang )</v>
      </c>
      <c r="I964" s="1"/>
      <c r="J964" s="1"/>
      <c r="K964" s="91"/>
      <c r="L964" s="1"/>
    </row>
    <row r="965" spans="1:13" x14ac:dyDescent="0.25">
      <c r="A965" s="1"/>
      <c r="B965" s="1"/>
      <c r="C965" s="1"/>
      <c r="D965" s="1">
        <v>5</v>
      </c>
      <c r="E965" s="1">
        <v>2</v>
      </c>
      <c r="F965" s="1"/>
      <c r="G965" s="1"/>
      <c r="H965" s="4" t="str">
        <f>'BID III'!B668</f>
        <v>Belanja Barang Jasa</v>
      </c>
      <c r="I965" s="1"/>
      <c r="J965" s="1"/>
      <c r="K965" s="91"/>
      <c r="L965" s="1"/>
    </row>
    <row r="966" spans="1:13" ht="30" x14ac:dyDescent="0.25">
      <c r="A966" s="1"/>
      <c r="B966" s="1"/>
      <c r="C966" s="1"/>
      <c r="D966" s="1"/>
      <c r="E966" s="1"/>
      <c r="F966" s="1">
        <v>1</v>
      </c>
      <c r="G966" s="1"/>
      <c r="H966" s="4" t="str">
        <f>'BID III'!B669</f>
        <v>Belanja Barang Perlengkapan</v>
      </c>
      <c r="I966" s="1"/>
      <c r="J966" s="1"/>
      <c r="K966" s="91"/>
      <c r="L966" s="1"/>
    </row>
    <row r="967" spans="1:13" ht="45" x14ac:dyDescent="0.25">
      <c r="A967" s="1"/>
      <c r="B967" s="1"/>
      <c r="C967" s="1"/>
      <c r="D967" s="1"/>
      <c r="E967" s="1"/>
      <c r="F967" s="1"/>
      <c r="G967" s="1488" t="s">
        <v>2700</v>
      </c>
      <c r="H967" s="4" t="str">
        <f>'BID III'!B670</f>
        <v>Belanja Barang Perlengkapan Barang Konsumsi</v>
      </c>
      <c r="I967" s="1"/>
      <c r="J967" s="1"/>
      <c r="K967" s="91">
        <f>SUM('BID III'!F671:F672)</f>
        <v>3150000</v>
      </c>
      <c r="L967" s="4" t="s">
        <v>2571</v>
      </c>
      <c r="M967" s="32">
        <f>SUM('BID III'!F671:F672)</f>
        <v>3150000</v>
      </c>
    </row>
    <row r="968" spans="1:13" ht="30" x14ac:dyDescent="0.25">
      <c r="A968" s="1"/>
      <c r="B968" s="1"/>
      <c r="C968" s="1"/>
      <c r="D968" s="1"/>
      <c r="E968" s="1"/>
      <c r="F968" s="1"/>
      <c r="G968" s="1488" t="s">
        <v>2701</v>
      </c>
      <c r="H968" s="1" t="str">
        <f>'BID III'!B673</f>
        <v>Belanja Bahan Material</v>
      </c>
      <c r="I968" s="1"/>
      <c r="J968" s="1"/>
      <c r="K968" s="91">
        <f>SUM('BID III'!F674:F675)</f>
        <v>1800000</v>
      </c>
      <c r="L968" s="4" t="s">
        <v>2571</v>
      </c>
      <c r="M968" s="32">
        <f>SUM('BID III'!F674:F675)</f>
        <v>1800000</v>
      </c>
    </row>
    <row r="969" spans="1:13" x14ac:dyDescent="0.25">
      <c r="A969" s="1"/>
      <c r="B969" s="1"/>
      <c r="C969" s="1"/>
      <c r="D969" s="1">
        <v>5</v>
      </c>
      <c r="E969" s="1">
        <v>2</v>
      </c>
      <c r="F969" s="1">
        <v>2</v>
      </c>
      <c r="G969" s="1"/>
      <c r="H969" s="4" t="str">
        <f>'BID III'!B676</f>
        <v>Belanja Honorarium</v>
      </c>
      <c r="I969" s="1"/>
      <c r="J969" s="1"/>
      <c r="K969" s="91"/>
      <c r="L969" s="1"/>
    </row>
    <row r="970" spans="1:13" ht="60" x14ac:dyDescent="0.25">
      <c r="A970" s="1"/>
      <c r="B970" s="1"/>
      <c r="C970" s="1"/>
      <c r="D970" s="1"/>
      <c r="E970" s="1"/>
      <c r="F970" s="1"/>
      <c r="G970" s="1488" t="s">
        <v>2697</v>
      </c>
      <c r="H970" s="4" t="str">
        <f>'BID III'!B677</f>
        <v>Belanja Jasa Honorarium Ahli Profesi/Konsultan/Narasumber</v>
      </c>
      <c r="I970" s="1"/>
      <c r="J970" s="1"/>
      <c r="K970" s="91">
        <f>SUM('BID III'!F678:F679)</f>
        <v>6000000</v>
      </c>
      <c r="L970" s="4" t="s">
        <v>2571</v>
      </c>
      <c r="M970" s="32">
        <f>SUM('BID III'!F678:F679)</f>
        <v>6000000</v>
      </c>
    </row>
    <row r="971" spans="1:13" ht="45" x14ac:dyDescent="0.25">
      <c r="A971" s="1"/>
      <c r="B971" s="1"/>
      <c r="C971" s="1"/>
      <c r="D971" s="1">
        <v>5</v>
      </c>
      <c r="E971" s="1">
        <v>2</v>
      </c>
      <c r="F971" s="1">
        <v>7</v>
      </c>
      <c r="G971" s="1"/>
      <c r="H971" s="4" t="str">
        <f>'BID III'!B680</f>
        <v>Belanja Barang dan Jasa yang Diserahkan Kepada Masyarakat</v>
      </c>
      <c r="I971" s="1"/>
      <c r="J971" s="1"/>
      <c r="K971" s="91"/>
      <c r="L971" s="1"/>
    </row>
    <row r="972" spans="1:13" ht="30" x14ac:dyDescent="0.25">
      <c r="A972" s="1"/>
      <c r="B972" s="1"/>
      <c r="C972" s="1"/>
      <c r="D972" s="1"/>
      <c r="E972" s="1"/>
      <c r="F972" s="1"/>
      <c r="G972" s="1">
        <v>90</v>
      </c>
      <c r="H972" s="4" t="str">
        <f>'BID III'!B681</f>
        <v>Uang Saku Peserta Lomba  ( 4 or x 1 Kl )</v>
      </c>
      <c r="I972" s="1"/>
      <c r="J972" s="1"/>
      <c r="K972" s="91">
        <f>SUM('BID III'!F681)</f>
        <v>200000</v>
      </c>
      <c r="L972" s="4" t="s">
        <v>2571</v>
      </c>
      <c r="M972" s="32">
        <f>'BID III'!F681</f>
        <v>200000</v>
      </c>
    </row>
    <row r="973" spans="1:13" ht="45" x14ac:dyDescent="0.25">
      <c r="A973" s="1"/>
      <c r="B973" s="1"/>
      <c r="C973" s="1"/>
      <c r="D973" s="1"/>
      <c r="E973" s="1"/>
      <c r="F973" s="1"/>
      <c r="G973" s="1488" t="s">
        <v>2679</v>
      </c>
      <c r="H973" s="4" t="str">
        <f>'BID III'!B682</f>
        <v>Belanja Jasa Honor Tim yang Melaksanakan Kegiatan</v>
      </c>
      <c r="I973" s="1"/>
      <c r="J973" s="1"/>
      <c r="K973" s="91">
        <f>SUM('BID III'!F683:F685)</f>
        <v>1150000</v>
      </c>
      <c r="L973" s="4" t="s">
        <v>2571</v>
      </c>
      <c r="M973" s="32">
        <f>'BID III'!H684</f>
        <v>1150000</v>
      </c>
    </row>
    <row r="974" spans="1:13" ht="30" x14ac:dyDescent="0.25">
      <c r="A974" s="1027">
        <v>3</v>
      </c>
      <c r="B974" s="1027">
        <v>3</v>
      </c>
      <c r="C974" s="1491" t="s">
        <v>2700</v>
      </c>
      <c r="D974" s="1027"/>
      <c r="E974" s="1027"/>
      <c r="F974" s="1027"/>
      <c r="G974" s="1027"/>
      <c r="H974" s="1028" t="str">
        <f>'BID III'!B702</f>
        <v>: Pembinaan Karang Taruna</v>
      </c>
      <c r="I974" s="1027"/>
      <c r="J974" s="1027"/>
      <c r="K974" s="1492">
        <f>SUM(K975:K983)</f>
        <v>40175000</v>
      </c>
      <c r="L974" s="1027"/>
      <c r="M974" s="32">
        <f>'BID III'!F723</f>
        <v>40175000</v>
      </c>
    </row>
    <row r="975" spans="1:13" x14ac:dyDescent="0.25">
      <c r="A975" s="1"/>
      <c r="B975" s="1"/>
      <c r="C975" s="1"/>
      <c r="D975" s="1">
        <v>5</v>
      </c>
      <c r="E975" s="1">
        <v>2</v>
      </c>
      <c r="F975" s="1"/>
      <c r="G975" s="1"/>
      <c r="H975" s="4" t="str">
        <f>'BID III'!B708</f>
        <v>Belanja Barang Jasa</v>
      </c>
      <c r="I975" s="1"/>
      <c r="J975" s="1"/>
      <c r="K975" s="91"/>
      <c r="L975" s="1"/>
    </row>
    <row r="976" spans="1:13" ht="30" x14ac:dyDescent="0.25">
      <c r="A976" s="1"/>
      <c r="B976" s="1"/>
      <c r="C976" s="1"/>
      <c r="D976" s="1"/>
      <c r="E976" s="1"/>
      <c r="F976" s="1">
        <v>1</v>
      </c>
      <c r="G976" s="1"/>
      <c r="H976" s="4" t="str">
        <f>'BID III'!B709</f>
        <v>Belanja Barang Perlengkapan</v>
      </c>
      <c r="I976" s="1"/>
      <c r="J976" s="1"/>
      <c r="K976" s="91"/>
      <c r="L976" s="1"/>
    </row>
    <row r="977" spans="1:13" ht="30" x14ac:dyDescent="0.25">
      <c r="A977" s="1"/>
      <c r="B977" s="1"/>
      <c r="C977" s="1"/>
      <c r="D977" s="1"/>
      <c r="E977" s="1"/>
      <c r="F977" s="1"/>
      <c r="G977" s="1488" t="s">
        <v>2700</v>
      </c>
      <c r="H977" s="4" t="str">
        <f>'BID III'!B710</f>
        <v>Belanja Perlengkapan Barang Konsumsi</v>
      </c>
      <c r="I977" s="1"/>
      <c r="J977" s="1"/>
      <c r="K977" s="91">
        <f>SUM('BID III'!F711:F712)</f>
        <v>8775000</v>
      </c>
      <c r="L977" s="1" t="s">
        <v>1409</v>
      </c>
    </row>
    <row r="978" spans="1:13" ht="30" x14ac:dyDescent="0.25">
      <c r="A978" s="1"/>
      <c r="B978" s="1"/>
      <c r="C978" s="1"/>
      <c r="D978" s="1"/>
      <c r="E978" s="1"/>
      <c r="F978" s="1"/>
      <c r="G978" s="1488" t="s">
        <v>2702</v>
      </c>
      <c r="H978" s="4" t="str">
        <f>'BID III'!B713</f>
        <v>Belanja Bendera/ Umbul-umbul/ Spanduk</v>
      </c>
      <c r="I978" s="1"/>
      <c r="J978" s="1"/>
      <c r="K978" s="91">
        <f>'BID III'!F714</f>
        <v>200000</v>
      </c>
      <c r="L978" s="1" t="s">
        <v>1409</v>
      </c>
    </row>
    <row r="979" spans="1:13" x14ac:dyDescent="0.25">
      <c r="A979" s="1"/>
      <c r="B979" s="1"/>
      <c r="C979" s="1"/>
      <c r="D979" s="1"/>
      <c r="E979" s="1"/>
      <c r="F979" s="1"/>
      <c r="G979" s="1488" t="s">
        <v>2703</v>
      </c>
      <c r="H979" s="4" t="str">
        <f>'BID III'!B715</f>
        <v>Belanja Seragam</v>
      </c>
      <c r="I979" s="1"/>
      <c r="J979" s="1"/>
      <c r="K979" s="91">
        <f>'BID III'!F716</f>
        <v>8400000</v>
      </c>
      <c r="L979" s="1" t="s">
        <v>1409</v>
      </c>
    </row>
    <row r="980" spans="1:13" x14ac:dyDescent="0.25">
      <c r="A980" s="1"/>
      <c r="B980" s="1"/>
      <c r="C980" s="1"/>
      <c r="D980" s="1">
        <v>5</v>
      </c>
      <c r="E980" s="1">
        <v>2</v>
      </c>
      <c r="F980" s="1">
        <v>2</v>
      </c>
      <c r="G980" s="1"/>
      <c r="H980" s="4" t="str">
        <f>'BID III'!B717</f>
        <v>Belanja  Jasa Honorarium</v>
      </c>
      <c r="I980" s="1"/>
      <c r="J980" s="1"/>
      <c r="K980" s="91"/>
      <c r="L980" s="1"/>
    </row>
    <row r="981" spans="1:13" ht="30" x14ac:dyDescent="0.25">
      <c r="A981" s="1"/>
      <c r="B981" s="1"/>
      <c r="C981" s="1"/>
      <c r="D981" s="1"/>
      <c r="E981" s="1"/>
      <c r="F981" s="1"/>
      <c r="G981" s="1488" t="s">
        <v>2697</v>
      </c>
      <c r="H981" s="4" t="str">
        <f>'BID III'!B718</f>
        <v>Belanja Jasa Honorarium Ahli/Profesi/Narasumber</v>
      </c>
      <c r="I981" s="1"/>
      <c r="J981" s="1"/>
      <c r="K981" s="91">
        <f>SUM('BID III'!F719)</f>
        <v>300000</v>
      </c>
      <c r="L981" s="1" t="s">
        <v>1409</v>
      </c>
    </row>
    <row r="982" spans="1:13" x14ac:dyDescent="0.25">
      <c r="A982" s="1"/>
      <c r="B982" s="1"/>
      <c r="C982" s="1"/>
      <c r="D982" s="1">
        <v>5</v>
      </c>
      <c r="E982" s="1">
        <v>2</v>
      </c>
      <c r="F982" s="1">
        <v>4</v>
      </c>
      <c r="G982" s="1"/>
      <c r="H982" s="4" t="str">
        <f>'BID III'!B720</f>
        <v>Belanja Jasa Sewa</v>
      </c>
      <c r="I982" s="1"/>
      <c r="J982" s="1"/>
      <c r="K982" s="91"/>
      <c r="L982" s="1"/>
    </row>
    <row r="983" spans="1:13" ht="30" x14ac:dyDescent="0.25">
      <c r="A983" s="1"/>
      <c r="B983" s="1"/>
      <c r="C983" s="1"/>
      <c r="D983" s="1"/>
      <c r="E983" s="1"/>
      <c r="F983" s="1"/>
      <c r="G983" s="1488" t="s">
        <v>2696</v>
      </c>
      <c r="H983" s="4" t="str">
        <f>'BID III'!B721</f>
        <v>Sewa Tranportasi/Outbone</v>
      </c>
      <c r="I983" s="1"/>
      <c r="J983" s="1"/>
      <c r="K983" s="91">
        <f>'BID III'!F721</f>
        <v>22500000</v>
      </c>
      <c r="L983" s="1" t="s">
        <v>1409</v>
      </c>
    </row>
    <row r="984" spans="1:13" ht="45" x14ac:dyDescent="0.25">
      <c r="A984" s="1498">
        <v>3</v>
      </c>
      <c r="B984" s="1498">
        <v>3</v>
      </c>
      <c r="C984" s="1498">
        <v>90</v>
      </c>
      <c r="D984" s="1498"/>
      <c r="E984" s="1498"/>
      <c r="F984" s="1498"/>
      <c r="G984" s="1498"/>
      <c r="H984" s="1494" t="str">
        <f>'BID III'!B735</f>
        <v>: Penunjang Kegiatan Ekonomi Produktif untuk Sekeha Teruna (BKK Kota)</v>
      </c>
      <c r="I984" s="1492"/>
      <c r="J984" s="1492"/>
      <c r="K984" s="1492">
        <f>K986</f>
        <v>420000000</v>
      </c>
      <c r="L984" s="1492"/>
    </row>
    <row r="985" spans="1:13" ht="45" x14ac:dyDescent="0.25">
      <c r="A985" s="1"/>
      <c r="B985" s="1"/>
      <c r="C985" s="1"/>
      <c r="D985" s="1">
        <v>5</v>
      </c>
      <c r="E985" s="1">
        <v>2</v>
      </c>
      <c r="F985" s="1">
        <v>7</v>
      </c>
      <c r="G985" s="1"/>
      <c r="H985" s="4" t="str">
        <f>'BID III'!B740</f>
        <v>Belanja Barang dan Jasa yang Diserahkan Kepada Masyarakat</v>
      </c>
      <c r="I985" s="1"/>
      <c r="J985" s="1"/>
      <c r="K985" s="91"/>
      <c r="L985" s="1"/>
    </row>
    <row r="986" spans="1:13" ht="30" x14ac:dyDescent="0.25">
      <c r="A986" s="1"/>
      <c r="B986" s="1"/>
      <c r="C986" s="1"/>
      <c r="D986" s="1"/>
      <c r="E986" s="1"/>
      <c r="F986" s="1"/>
      <c r="G986" s="1488" t="s">
        <v>2679</v>
      </c>
      <c r="H986" s="4" t="str">
        <f>'BID III'!B741</f>
        <v>Belanaja Barang  Yang Diserahkan</v>
      </c>
      <c r="I986" s="1"/>
      <c r="J986" s="1"/>
      <c r="K986" s="91">
        <f>SUM('BID III'!F742)</f>
        <v>420000000</v>
      </c>
      <c r="L986" s="4" t="s">
        <v>1605</v>
      </c>
    </row>
    <row r="987" spans="1:13" ht="60" x14ac:dyDescent="0.25">
      <c r="A987" s="1027">
        <v>3</v>
      </c>
      <c r="B987" s="1027">
        <v>4</v>
      </c>
      <c r="C987" s="1491" t="s">
        <v>2694</v>
      </c>
      <c r="D987" s="1027"/>
      <c r="E987" s="1027"/>
      <c r="F987" s="1027"/>
      <c r="G987" s="1027"/>
      <c r="H987" s="1028" t="str">
        <f>'BID III'!B757</f>
        <v>: Pelatihan Pembinaan Lembaga Kemasyarakatan (Bulan bakti Gotong royong LPM)</v>
      </c>
      <c r="I987" s="1027"/>
      <c r="J987" s="1027"/>
      <c r="K987" s="1492">
        <f>SUM(K988:K995)</f>
        <v>31375000</v>
      </c>
      <c r="L987" s="1027"/>
      <c r="M987" s="32">
        <f>'BID III'!F780</f>
        <v>31375000</v>
      </c>
    </row>
    <row r="988" spans="1:13" x14ac:dyDescent="0.25">
      <c r="A988" s="1"/>
      <c r="B988" s="1"/>
      <c r="C988" s="1"/>
      <c r="D988" s="1">
        <v>5</v>
      </c>
      <c r="E988" s="1">
        <v>2</v>
      </c>
      <c r="F988" s="1"/>
      <c r="G988" s="1"/>
      <c r="H988" s="4" t="str">
        <f>'BID III'!B763</f>
        <v>Belanja Barang  Dan Jasa</v>
      </c>
      <c r="I988" s="1"/>
      <c r="J988" s="1"/>
      <c r="K988" s="91"/>
      <c r="L988" s="1"/>
    </row>
    <row r="989" spans="1:13" ht="30" x14ac:dyDescent="0.25">
      <c r="A989" s="1"/>
      <c r="B989" s="1"/>
      <c r="C989" s="1"/>
      <c r="D989" s="1"/>
      <c r="E989" s="1"/>
      <c r="F989" s="1">
        <v>1</v>
      </c>
      <c r="G989" s="1"/>
      <c r="H989" s="4" t="str">
        <f>'BID III'!B764</f>
        <v>Belanja Barang Perlengkapan</v>
      </c>
      <c r="I989" s="1"/>
      <c r="J989" s="1"/>
      <c r="K989" s="91"/>
      <c r="L989" s="1"/>
    </row>
    <row r="990" spans="1:13" ht="30" x14ac:dyDescent="0.25">
      <c r="A990" s="1"/>
      <c r="B990" s="1"/>
      <c r="C990" s="1"/>
      <c r="D990" s="1"/>
      <c r="E990" s="1"/>
      <c r="F990" s="1"/>
      <c r="G990" s="1488" t="s">
        <v>2700</v>
      </c>
      <c r="H990" s="4" t="str">
        <f>'BID III'!B765</f>
        <v>Belanja Perlengkapan Barang Konsumsi</v>
      </c>
      <c r="I990" s="1"/>
      <c r="J990" s="1"/>
      <c r="K990" s="91">
        <f>SUM('BID III'!F766:F767)</f>
        <v>5400000</v>
      </c>
      <c r="L990" s="4" t="s">
        <v>2573</v>
      </c>
    </row>
    <row r="991" spans="1:13" ht="30" x14ac:dyDescent="0.25">
      <c r="A991" s="1"/>
      <c r="B991" s="1"/>
      <c r="C991" s="1"/>
      <c r="D991" s="1"/>
      <c r="E991" s="1"/>
      <c r="F991" s="1"/>
      <c r="G991" s="1488" t="s">
        <v>2702</v>
      </c>
      <c r="H991" s="4" t="str">
        <f>'BID III'!B768</f>
        <v>Belanja Bendera/ Umbul-umbul/ Spanduk</v>
      </c>
      <c r="I991" s="1"/>
      <c r="J991" s="1"/>
      <c r="K991" s="91">
        <f>'BID III'!F769</f>
        <v>90000</v>
      </c>
      <c r="L991" s="4" t="s">
        <v>2573</v>
      </c>
    </row>
    <row r="992" spans="1:13" ht="30" x14ac:dyDescent="0.25">
      <c r="A992" s="1"/>
      <c r="B992" s="1"/>
      <c r="C992" s="1"/>
      <c r="D992" s="1"/>
      <c r="E992" s="1"/>
      <c r="F992" s="1"/>
      <c r="G992" s="1488" t="s">
        <v>2703</v>
      </c>
      <c r="H992" s="4" t="str">
        <f>'BID III'!B770</f>
        <v>Belanja Pakaian Dinas Seragam Dan Atribut</v>
      </c>
      <c r="I992" s="1"/>
      <c r="J992" s="1"/>
      <c r="K992" s="91">
        <f>'BID III'!F771</f>
        <v>10200000</v>
      </c>
      <c r="L992" s="4" t="s">
        <v>2573</v>
      </c>
    </row>
    <row r="993" spans="1:13" ht="30" x14ac:dyDescent="0.25">
      <c r="A993" s="1"/>
      <c r="B993" s="1"/>
      <c r="C993" s="1"/>
      <c r="D993" s="1"/>
      <c r="E993" s="1"/>
      <c r="F993" s="1"/>
      <c r="G993" s="1">
        <v>90</v>
      </c>
      <c r="H993" s="4" t="str">
        <f>'BID III'!B772</f>
        <v>Belanja Upakara, Upacara Dan Aci</v>
      </c>
      <c r="I993" s="1"/>
      <c r="J993" s="1"/>
      <c r="K993" s="91">
        <f>SUM('BID III'!F773:F775)</f>
        <v>285000</v>
      </c>
      <c r="L993" s="4" t="s">
        <v>2573</v>
      </c>
    </row>
    <row r="994" spans="1:13" ht="60" x14ac:dyDescent="0.25">
      <c r="A994" s="1"/>
      <c r="B994" s="1"/>
      <c r="C994" s="1"/>
      <c r="D994" s="1">
        <v>5</v>
      </c>
      <c r="E994" s="1">
        <v>2</v>
      </c>
      <c r="F994" s="1">
        <v>7</v>
      </c>
      <c r="G994" s="1"/>
      <c r="H994" s="4" t="str">
        <f>'BID III'!B776</f>
        <v>Belanja Bahan Perlengkapan Yang Diserahkan Ke Masyarakat</v>
      </c>
      <c r="I994" s="1"/>
      <c r="J994" s="1"/>
      <c r="K994" s="91"/>
      <c r="L994" s="1"/>
    </row>
    <row r="995" spans="1:13" ht="60" x14ac:dyDescent="0.25">
      <c r="A995" s="1"/>
      <c r="B995" s="1"/>
      <c r="C995" s="1"/>
      <c r="D995" s="1"/>
      <c r="E995" s="1"/>
      <c r="F995" s="1"/>
      <c r="G995" s="1488" t="s">
        <v>2679</v>
      </c>
      <c r="H995" s="4" t="str">
        <f>'BID III'!B777</f>
        <v>Belanja Bahan Perlengkapan Yang Diserahkan Ke Masyarakat</v>
      </c>
      <c r="I995" s="1"/>
      <c r="J995" s="1"/>
      <c r="K995" s="91">
        <f>SUM('BID III'!F778)</f>
        <v>15400000</v>
      </c>
      <c r="L995" s="4" t="s">
        <v>2573</v>
      </c>
    </row>
    <row r="996" spans="1:13" ht="30" x14ac:dyDescent="0.25">
      <c r="A996" s="1027">
        <v>3</v>
      </c>
      <c r="B996" s="1027">
        <v>4</v>
      </c>
      <c r="C996" s="1491" t="s">
        <v>2694</v>
      </c>
      <c r="D996" s="1027"/>
      <c r="E996" s="1027"/>
      <c r="F996" s="1027"/>
      <c r="G996" s="1027"/>
      <c r="H996" s="1028" t="str">
        <f>'BID III'!B793</f>
        <v>: Pembinaan LKMD / LPM / LPMD (Pelatihan LPM)</v>
      </c>
      <c r="I996" s="1027"/>
      <c r="J996" s="1027"/>
      <c r="K996" s="1492">
        <f>SUM(K997:K1005)</f>
        <v>14805000</v>
      </c>
      <c r="L996" s="1027"/>
      <c r="M996" s="32">
        <f>'BID III'!F816</f>
        <v>14805000</v>
      </c>
    </row>
    <row r="997" spans="1:13" x14ac:dyDescent="0.25">
      <c r="A997" s="1"/>
      <c r="B997" s="1"/>
      <c r="C997" s="1"/>
      <c r="D997" s="1">
        <v>5</v>
      </c>
      <c r="E997" s="1">
        <v>2</v>
      </c>
      <c r="F997" s="1"/>
      <c r="G997" s="1"/>
      <c r="H997" s="4" t="str">
        <f>'BID III'!B799</f>
        <v>Belanja Barang Dan Jasa</v>
      </c>
      <c r="I997" s="1"/>
      <c r="J997" s="1"/>
      <c r="K997" s="91"/>
      <c r="L997" s="1"/>
    </row>
    <row r="998" spans="1:13" ht="30" x14ac:dyDescent="0.25">
      <c r="A998" s="1"/>
      <c r="B998" s="1"/>
      <c r="C998" s="1"/>
      <c r="D998" s="1"/>
      <c r="E998" s="1"/>
      <c r="F998" s="1">
        <v>1</v>
      </c>
      <c r="G998" s="1"/>
      <c r="H998" s="4" t="str">
        <f>'BID III'!B800</f>
        <v>Belanja Barang Perlengkapan</v>
      </c>
      <c r="I998" s="1"/>
      <c r="J998" s="1"/>
      <c r="K998" s="91"/>
      <c r="L998" s="1"/>
    </row>
    <row r="999" spans="1:13" ht="30" x14ac:dyDescent="0.25">
      <c r="A999" s="1"/>
      <c r="B999" s="1"/>
      <c r="C999" s="1"/>
      <c r="D999" s="1"/>
      <c r="E999" s="1"/>
      <c r="F999" s="1"/>
      <c r="G999" s="1488" t="s">
        <v>2700</v>
      </c>
      <c r="H999" s="4" t="str">
        <f>'BID III'!B801</f>
        <v>Belanja Perlengkapan Barang Konsumsi</v>
      </c>
      <c r="I999" s="1"/>
      <c r="J999" s="1"/>
      <c r="K999" s="91">
        <f>SUM('BID III'!F802:F803)</f>
        <v>4050000</v>
      </c>
      <c r="L999" s="1" t="s">
        <v>1409</v>
      </c>
    </row>
    <row r="1000" spans="1:13" ht="30" x14ac:dyDescent="0.25">
      <c r="A1000" s="1"/>
      <c r="B1000" s="1"/>
      <c r="C1000" s="1"/>
      <c r="D1000" s="1"/>
      <c r="E1000" s="1"/>
      <c r="F1000" s="1"/>
      <c r="G1000" s="1488" t="s">
        <v>2702</v>
      </c>
      <c r="H1000" s="4" t="str">
        <f>'BID III'!B804</f>
        <v>Belanja Bendera/ Umbul-umbul/ Spanduk</v>
      </c>
      <c r="I1000" s="1"/>
      <c r="J1000" s="1"/>
      <c r="K1000" s="91">
        <f>'BID III'!F805</f>
        <v>90000</v>
      </c>
      <c r="L1000" s="1" t="s">
        <v>1409</v>
      </c>
    </row>
    <row r="1001" spans="1:13" ht="30" x14ac:dyDescent="0.25">
      <c r="A1001" s="1"/>
      <c r="B1001" s="1"/>
      <c r="C1001" s="1"/>
      <c r="D1001" s="1"/>
      <c r="E1001" s="1"/>
      <c r="F1001" s="1"/>
      <c r="G1001" s="1">
        <v>90</v>
      </c>
      <c r="H1001" s="4" t="str">
        <f>'BID III'!B806</f>
        <v>Belanja Upakara, Upacara Dan Aci</v>
      </c>
      <c r="I1001" s="1"/>
      <c r="J1001" s="1"/>
      <c r="K1001" s="91">
        <f>SUM('BID III'!F807:F809)</f>
        <v>65000</v>
      </c>
      <c r="L1001" s="1" t="s">
        <v>1409</v>
      </c>
    </row>
    <row r="1002" spans="1:13" x14ac:dyDescent="0.25">
      <c r="A1002" s="1"/>
      <c r="B1002" s="1"/>
      <c r="C1002" s="1"/>
      <c r="D1002" s="1">
        <v>5</v>
      </c>
      <c r="E1002" s="1">
        <v>2</v>
      </c>
      <c r="F1002" s="1">
        <v>2</v>
      </c>
      <c r="G1002" s="1"/>
      <c r="H1002" s="4" t="str">
        <f>'BID III'!B810</f>
        <v>Belanja Honorarium</v>
      </c>
      <c r="I1002" s="1"/>
      <c r="J1002" s="1"/>
      <c r="K1002" s="91"/>
      <c r="L1002" s="1"/>
    </row>
    <row r="1003" spans="1:13" ht="45" x14ac:dyDescent="0.25">
      <c r="A1003" s="1"/>
      <c r="B1003" s="1"/>
      <c r="C1003" s="1"/>
      <c r="D1003" s="1"/>
      <c r="E1003" s="1"/>
      <c r="F1003" s="1"/>
      <c r="G1003" s="1488" t="s">
        <v>2697</v>
      </c>
      <c r="H1003" s="4" t="str">
        <f>'BID III'!B811</f>
        <v>Belanja Jasa Honorarium Ahli/Profesi/Konsultan/ Narasumber</v>
      </c>
      <c r="I1003" s="1"/>
      <c r="J1003" s="1"/>
      <c r="K1003" s="91">
        <f>SUM('BID III'!F812)</f>
        <v>600000</v>
      </c>
      <c r="L1003" s="1" t="s">
        <v>1409</v>
      </c>
    </row>
    <row r="1004" spans="1:13" x14ac:dyDescent="0.25">
      <c r="A1004" s="1"/>
      <c r="B1004" s="1"/>
      <c r="C1004" s="1"/>
      <c r="D1004" s="1">
        <v>5</v>
      </c>
      <c r="E1004" s="1">
        <v>2</v>
      </c>
      <c r="F1004" s="1">
        <v>4</v>
      </c>
      <c r="G1004" s="1"/>
      <c r="H1004" s="4" t="str">
        <f>'BID III'!B813</f>
        <v>Belanja Jasa Sewa</v>
      </c>
      <c r="I1004" s="1"/>
      <c r="J1004" s="1"/>
      <c r="K1004" s="91"/>
      <c r="L1004" s="1"/>
    </row>
    <row r="1005" spans="1:13" ht="30" x14ac:dyDescent="0.25">
      <c r="A1005" s="1"/>
      <c r="B1005" s="1"/>
      <c r="C1005" s="1"/>
      <c r="D1005" s="1"/>
      <c r="E1005" s="1"/>
      <c r="F1005" s="1"/>
      <c r="G1005" s="1488" t="s">
        <v>2696</v>
      </c>
      <c r="H1005" s="4" t="str">
        <f>'BID III'!B814</f>
        <v>Sewa Tranportasi/Outbone</v>
      </c>
      <c r="I1005" s="1"/>
      <c r="J1005" s="1"/>
      <c r="K1005" s="91">
        <f>'BID III'!F814</f>
        <v>10000000</v>
      </c>
      <c r="L1005" s="1" t="s">
        <v>1409</v>
      </c>
    </row>
    <row r="1006" spans="1:13" ht="45" x14ac:dyDescent="0.25">
      <c r="A1006" s="1498">
        <v>3</v>
      </c>
      <c r="B1006" s="1498">
        <v>4</v>
      </c>
      <c r="C1006" s="1499" t="s">
        <v>2696</v>
      </c>
      <c r="D1006" s="1498"/>
      <c r="E1006" s="1498"/>
      <c r="F1006" s="1498"/>
      <c r="G1006" s="1498"/>
      <c r="H1006" s="1494" t="str">
        <f>'BID III'!B829</f>
        <v>: Pembinaan PKK  ( Pembinaan Administrasi dan Pokja PKK Desa  )</v>
      </c>
      <c r="I1006" s="1492"/>
      <c r="J1006" s="1492"/>
      <c r="K1006" s="1492">
        <f>SUM(K1007:K1016)</f>
        <v>55763600</v>
      </c>
      <c r="L1006" s="1492"/>
      <c r="M1006" s="1303">
        <f>'BID III'!F857</f>
        <v>57857600</v>
      </c>
    </row>
    <row r="1007" spans="1:13" x14ac:dyDescent="0.25">
      <c r="A1007" s="1"/>
      <c r="B1007" s="1"/>
      <c r="C1007" s="1"/>
      <c r="D1007" s="1">
        <v>5</v>
      </c>
      <c r="E1007" s="1">
        <v>2</v>
      </c>
      <c r="F1007" s="1"/>
      <c r="G1007" s="1"/>
      <c r="H1007" s="4" t="str">
        <f>'BID III'!B834</f>
        <v>Belanja Barang Jasa</v>
      </c>
      <c r="I1007" s="1"/>
      <c r="J1007" s="1"/>
      <c r="K1007" s="91"/>
      <c r="L1007" s="1"/>
    </row>
    <row r="1008" spans="1:13" ht="30" x14ac:dyDescent="0.25">
      <c r="A1008" s="1"/>
      <c r="B1008" s="1"/>
      <c r="C1008" s="1"/>
      <c r="D1008" s="1"/>
      <c r="E1008" s="1"/>
      <c r="F1008" s="1">
        <v>1</v>
      </c>
      <c r="G1008" s="1"/>
      <c r="H1008" s="4" t="str">
        <f>'BID III'!B835</f>
        <v>Belanja Barang Perlengkapan</v>
      </c>
      <c r="I1008" s="1"/>
      <c r="J1008" s="1"/>
      <c r="K1008" s="91"/>
      <c r="L1008" s="1"/>
    </row>
    <row r="1009" spans="1:12" ht="30" x14ac:dyDescent="0.25">
      <c r="A1009" s="1"/>
      <c r="B1009" s="1"/>
      <c r="C1009" s="1"/>
      <c r="D1009" s="1"/>
      <c r="E1009" s="1"/>
      <c r="F1009" s="1"/>
      <c r="G1009" s="1488" t="s">
        <v>2679</v>
      </c>
      <c r="H1009" s="4" t="str">
        <f>'BID III'!B836</f>
        <v>Belanja Alat Tulis Kantor dan Benda Pos</v>
      </c>
      <c r="I1009" s="1"/>
      <c r="J1009" s="1"/>
      <c r="K1009" s="91">
        <f>SUM('BID III'!F837:F842)</f>
        <v>1023600</v>
      </c>
      <c r="L1009" s="1"/>
    </row>
    <row r="1010" spans="1:12" ht="30" x14ac:dyDescent="0.25">
      <c r="A1010" s="1"/>
      <c r="B1010" s="1"/>
      <c r="C1010" s="1"/>
      <c r="D1010" s="1"/>
      <c r="E1010" s="1"/>
      <c r="F1010" s="1"/>
      <c r="G1010" s="1488" t="s">
        <v>2700</v>
      </c>
      <c r="H1010" s="4" t="str">
        <f>'BID III'!B844</f>
        <v>Belanja Perlengkapan Barang Konsumsi</v>
      </c>
      <c r="I1010" s="1"/>
      <c r="J1010" s="1"/>
      <c r="K1010" s="91">
        <f>SUM('BID III'!F845:F846)</f>
        <v>7800000</v>
      </c>
      <c r="L1010" s="1"/>
    </row>
    <row r="1011" spans="1:12" ht="30" x14ac:dyDescent="0.25">
      <c r="A1011" s="1"/>
      <c r="B1011" s="1"/>
      <c r="C1011" s="1"/>
      <c r="D1011" s="1"/>
      <c r="E1011" s="1"/>
      <c r="F1011" s="1"/>
      <c r="G1011" s="1488" t="s">
        <v>2702</v>
      </c>
      <c r="H1011" s="4" t="str">
        <f>'BID III'!B847</f>
        <v>Belanja Bendera/ Umbul-umbul/ Spanduk</v>
      </c>
      <c r="I1011" s="1"/>
      <c r="J1011" s="1"/>
      <c r="K1011" s="91">
        <f>'BID III'!F848</f>
        <v>90000</v>
      </c>
      <c r="L1011" s="1"/>
    </row>
    <row r="1012" spans="1:12" ht="30" x14ac:dyDescent="0.25">
      <c r="A1012" s="1"/>
      <c r="B1012" s="1"/>
      <c r="C1012" s="1"/>
      <c r="D1012" s="1"/>
      <c r="E1012" s="1"/>
      <c r="F1012" s="1"/>
      <c r="G1012" s="1488" t="s">
        <v>2703</v>
      </c>
      <c r="H1012" s="4" t="str">
        <f>'BID III'!B849</f>
        <v>Belanja Pakaian Dinas / Seragam/ Atribut</v>
      </c>
      <c r="I1012" s="1"/>
      <c r="J1012" s="1"/>
      <c r="K1012" s="91">
        <f>'BID III'!F850</f>
        <v>26250000</v>
      </c>
      <c r="L1012" s="1"/>
    </row>
    <row r="1013" spans="1:12" x14ac:dyDescent="0.25">
      <c r="A1013" s="1"/>
      <c r="B1013" s="1"/>
      <c r="C1013" s="1"/>
      <c r="D1013" s="1">
        <v>5</v>
      </c>
      <c r="E1013" s="1">
        <v>2</v>
      </c>
      <c r="F1013" s="1">
        <v>2</v>
      </c>
      <c r="G1013" s="1"/>
      <c r="H1013" s="4" t="str">
        <f>'BID III'!B851</f>
        <v>Belanja  Jasa Honorarium</v>
      </c>
      <c r="I1013" s="1"/>
      <c r="J1013" s="1"/>
      <c r="K1013" s="91"/>
      <c r="L1013" s="1"/>
    </row>
    <row r="1014" spans="1:12" ht="45" x14ac:dyDescent="0.25">
      <c r="A1014" s="1"/>
      <c r="B1014" s="1"/>
      <c r="C1014" s="1"/>
      <c r="D1014" s="1"/>
      <c r="E1014" s="1"/>
      <c r="F1014" s="1"/>
      <c r="G1014" s="1488" t="s">
        <v>2697</v>
      </c>
      <c r="H1014" s="4" t="str">
        <f>'BID III'!B852</f>
        <v>Belanja Jasa Honorarium Ahli/ Profesi/Konsultan/ Narasumber</v>
      </c>
      <c r="I1014" s="1"/>
      <c r="J1014" s="1"/>
      <c r="K1014" s="91">
        <f>SUM('BID III'!F853)</f>
        <v>600000</v>
      </c>
      <c r="L1014" s="1"/>
    </row>
    <row r="1015" spans="1:12" x14ac:dyDescent="0.25">
      <c r="A1015" s="1"/>
      <c r="B1015" s="1"/>
      <c r="C1015" s="1"/>
      <c r="D1015" s="1">
        <v>5</v>
      </c>
      <c r="E1015" s="1">
        <v>2</v>
      </c>
      <c r="F1015" s="1">
        <v>4</v>
      </c>
      <c r="G1015" s="1"/>
      <c r="H1015" s="4" t="str">
        <f>'BID III'!B854</f>
        <v>Belanja Jasa Sewa</v>
      </c>
      <c r="I1015" s="1"/>
      <c r="J1015" s="1"/>
      <c r="K1015" s="91"/>
      <c r="L1015" s="1"/>
    </row>
    <row r="1016" spans="1:12" ht="30" x14ac:dyDescent="0.25">
      <c r="A1016" s="1"/>
      <c r="B1016" s="1"/>
      <c r="C1016" s="1"/>
      <c r="D1016" s="1"/>
      <c r="E1016" s="1"/>
      <c r="F1016" s="1"/>
      <c r="G1016" s="1488" t="s">
        <v>2696</v>
      </c>
      <c r="H1016" s="4" t="str">
        <f>'BID III'!B855</f>
        <v>Sewa Tranportasi/Outbone</v>
      </c>
      <c r="I1016" s="1"/>
      <c r="J1016" s="1"/>
      <c r="K1016" s="91">
        <f>SUM('BID III'!F855)</f>
        <v>20000000</v>
      </c>
      <c r="L1016" s="1"/>
    </row>
    <row r="1017" spans="1:12" ht="60" x14ac:dyDescent="0.25">
      <c r="A1017" s="1498">
        <v>3</v>
      </c>
      <c r="B1017" s="1498">
        <v>4</v>
      </c>
      <c r="C1017" s="1499" t="s">
        <v>2697</v>
      </c>
      <c r="D1017" s="1498"/>
      <c r="E1017" s="1498"/>
      <c r="F1017" s="1498"/>
      <c r="G1017" s="1498"/>
      <c r="H1017" s="1494" t="str">
        <f>'BID III'!B1121</f>
        <v>Pemeliharaan Jalan Lingkungan Permukiman Pura Dalem Laplap ( PONDASI)</v>
      </c>
      <c r="I1017" s="1492"/>
      <c r="J1017" s="1492"/>
      <c r="K1017" s="1492">
        <f>K1020</f>
        <v>0</v>
      </c>
      <c r="L1017" s="1492"/>
    </row>
    <row r="1018" spans="1:12" x14ac:dyDescent="0.25">
      <c r="A1018" s="1"/>
      <c r="B1018" s="1"/>
      <c r="C1018" s="1"/>
      <c r="D1018" s="1">
        <v>5</v>
      </c>
      <c r="E1018" s="1">
        <v>2</v>
      </c>
      <c r="F1018" s="1"/>
      <c r="G1018" s="1"/>
      <c r="H1018" s="4" t="str">
        <f>'BID III'!B1128</f>
        <v>Belanja Barang Jasa</v>
      </c>
      <c r="I1018" s="1"/>
      <c r="J1018" s="1"/>
      <c r="K1018" s="91"/>
      <c r="L1018" s="1"/>
    </row>
    <row r="1019" spans="1:12" ht="45" x14ac:dyDescent="0.25">
      <c r="A1019" s="1"/>
      <c r="B1019" s="1"/>
      <c r="C1019" s="1"/>
      <c r="D1019" s="1"/>
      <c r="E1019" s="1"/>
      <c r="F1019" s="1">
        <v>7</v>
      </c>
      <c r="G1019" s="1"/>
      <c r="H1019" s="4" t="str">
        <f>'BID III'!B1129</f>
        <v>Belanja Barang dan Jasa yang Diserahkan Kepada Masyarakat</v>
      </c>
      <c r="I1019" s="1"/>
      <c r="J1019" s="1"/>
      <c r="K1019" s="91"/>
      <c r="L1019" s="1"/>
    </row>
    <row r="1020" spans="1:12" ht="60" x14ac:dyDescent="0.25">
      <c r="A1020" s="1"/>
      <c r="B1020" s="1"/>
      <c r="C1020" s="1"/>
      <c r="D1020" s="1"/>
      <c r="E1020" s="1"/>
      <c r="F1020" s="1"/>
      <c r="G1020" s="1488" t="s">
        <v>2696</v>
      </c>
      <c r="H1020" s="4" t="str">
        <f>'BID III'!B1130</f>
        <v>Belanja Bantuan Bangunan Yang Diserahkan Kepada Masyarakat</v>
      </c>
      <c r="I1020" s="1"/>
      <c r="J1020" s="1"/>
      <c r="K1020" s="91">
        <f>'BID III'!F1142</f>
        <v>0</v>
      </c>
      <c r="L1020" s="1" t="s">
        <v>1845</v>
      </c>
    </row>
    <row r="1021" spans="1:12" ht="60" x14ac:dyDescent="0.25">
      <c r="A1021" s="1498">
        <v>3</v>
      </c>
      <c r="B1021" s="1498">
        <v>4</v>
      </c>
      <c r="C1021" s="1499" t="s">
        <v>2697</v>
      </c>
      <c r="D1021" s="1498"/>
      <c r="E1021" s="1498"/>
      <c r="F1021" s="1498"/>
      <c r="G1021" s="1498"/>
      <c r="H1021" s="1028" t="str">
        <f>'BID III'!B1153</f>
        <v>Pemeliharaan Jalan Lingkungan Permukiman Pura Dalem Laplap ( Urugan Tanah Kembali)</v>
      </c>
      <c r="I1021" s="1027"/>
      <c r="J1021" s="1027"/>
      <c r="K1021" s="1492">
        <f>K1024</f>
        <v>0</v>
      </c>
      <c r="L1021" s="1027"/>
    </row>
    <row r="1022" spans="1:12" x14ac:dyDescent="0.25">
      <c r="A1022" s="1"/>
      <c r="B1022" s="1"/>
      <c r="C1022" s="1"/>
      <c r="D1022" s="1">
        <v>5</v>
      </c>
      <c r="E1022" s="1">
        <v>2</v>
      </c>
      <c r="F1022" s="1"/>
      <c r="G1022" s="1"/>
      <c r="H1022" s="4" t="str">
        <f>'BID III'!B1160</f>
        <v>Belanja Barang Jasa</v>
      </c>
      <c r="I1022" s="1"/>
      <c r="J1022" s="1"/>
      <c r="K1022" s="91"/>
      <c r="L1022" s="1"/>
    </row>
    <row r="1023" spans="1:12" ht="45" x14ac:dyDescent="0.25">
      <c r="A1023" s="1"/>
      <c r="B1023" s="1"/>
      <c r="C1023" s="1"/>
      <c r="D1023" s="1"/>
      <c r="E1023" s="1"/>
      <c r="F1023" s="1">
        <v>7</v>
      </c>
      <c r="G1023" s="1"/>
      <c r="H1023" s="4" t="str">
        <f>'BID III'!B1161</f>
        <v>Belanja Barang dan Jasa yang Diserahkan Kepada Masyarakat</v>
      </c>
      <c r="I1023" s="1"/>
      <c r="J1023" s="1"/>
      <c r="K1023" s="91"/>
      <c r="L1023" s="1"/>
    </row>
    <row r="1024" spans="1:12" ht="60" x14ac:dyDescent="0.25">
      <c r="A1024" s="1"/>
      <c r="B1024" s="1"/>
      <c r="C1024" s="1"/>
      <c r="D1024" s="1"/>
      <c r="E1024" s="1"/>
      <c r="F1024" s="1"/>
      <c r="G1024" s="1488" t="s">
        <v>2696</v>
      </c>
      <c r="H1024" s="4" t="str">
        <f>'BID III'!B1162</f>
        <v>Belanja Bantuan Bangunan Yang Diserahkan Kepada Masyarakat</v>
      </c>
      <c r="I1024" s="1"/>
      <c r="J1024" s="1"/>
      <c r="K1024" s="91">
        <f>'BID III'!F1167</f>
        <v>0</v>
      </c>
      <c r="L1024" s="1" t="s">
        <v>1845</v>
      </c>
    </row>
    <row r="1025" spans="1:12" ht="60" x14ac:dyDescent="0.25">
      <c r="A1025" s="1498">
        <v>3</v>
      </c>
      <c r="B1025" s="1498">
        <v>4</v>
      </c>
      <c r="C1025" s="1499" t="s">
        <v>2697</v>
      </c>
      <c r="D1025" s="1498"/>
      <c r="E1025" s="1498"/>
      <c r="F1025" s="1498"/>
      <c r="G1025" s="1498"/>
      <c r="H1025" s="1028" t="str">
        <f>'BID III'!B1178</f>
        <v>Pemeliharaan Jalan Lingkungan Permukiman Pura Dalem Laplap ( SLOOF beton bertulang)</v>
      </c>
      <c r="I1025" s="1027"/>
      <c r="J1025" s="1027"/>
      <c r="K1025" s="1492">
        <f>K1027</f>
        <v>0</v>
      </c>
      <c r="L1025" s="1027"/>
    </row>
    <row r="1026" spans="1:12" x14ac:dyDescent="0.25">
      <c r="A1026" s="1"/>
      <c r="B1026" s="1"/>
      <c r="C1026" s="1"/>
      <c r="D1026" s="1">
        <v>5</v>
      </c>
      <c r="E1026" s="1">
        <v>2</v>
      </c>
      <c r="F1026" s="1"/>
      <c r="G1026" s="1"/>
      <c r="H1026" s="4" t="str">
        <f>'BID III'!B1185</f>
        <v>Belanja Barang Jasa</v>
      </c>
      <c r="I1026" s="1"/>
      <c r="J1026" s="1"/>
      <c r="K1026" s="91"/>
      <c r="L1026" s="1"/>
    </row>
    <row r="1027" spans="1:12" ht="45" x14ac:dyDescent="0.25">
      <c r="A1027" s="1"/>
      <c r="B1027" s="1"/>
      <c r="C1027" s="1"/>
      <c r="D1027" s="1"/>
      <c r="E1027" s="1"/>
      <c r="F1027" s="1">
        <v>7</v>
      </c>
      <c r="G1027" s="1488" t="s">
        <v>2696</v>
      </c>
      <c r="H1027" s="4" t="str">
        <f>'BID III'!B1186</f>
        <v>Belanja Barang dan Jasa yang Diserahkan Kepada Masyarakat</v>
      </c>
      <c r="I1027" s="1"/>
      <c r="J1027" s="1"/>
      <c r="K1027" s="91">
        <f>'BID III'!F1200</f>
        <v>0</v>
      </c>
      <c r="L1027" s="1" t="s">
        <v>1845</v>
      </c>
    </row>
    <row r="1028" spans="1:12" ht="60" x14ac:dyDescent="0.25">
      <c r="A1028" s="1027">
        <v>3</v>
      </c>
      <c r="B1028" s="1027">
        <v>4</v>
      </c>
      <c r="C1028" s="1491" t="s">
        <v>2697</v>
      </c>
      <c r="D1028" s="1027"/>
      <c r="E1028" s="1027"/>
      <c r="F1028" s="1027"/>
      <c r="G1028" s="1491"/>
      <c r="H1028" s="1028" t="str">
        <f>'BID III'!B1220</f>
        <v>Pemeliharaan Jalan Lingkungan Permukiman Pura Dalem Laplap ( PASANG BATAKO)</v>
      </c>
      <c r="I1028" s="1027"/>
      <c r="J1028" s="1027"/>
      <c r="K1028" s="1492">
        <f>K1031</f>
        <v>0</v>
      </c>
      <c r="L1028" s="1027"/>
    </row>
    <row r="1029" spans="1:12" x14ac:dyDescent="0.25">
      <c r="A1029" s="1"/>
      <c r="B1029" s="1"/>
      <c r="C1029" s="1"/>
      <c r="D1029" s="1">
        <v>5</v>
      </c>
      <c r="E1029" s="1">
        <v>2</v>
      </c>
      <c r="F1029" s="1"/>
      <c r="G1029" s="1"/>
      <c r="H1029" s="4" t="str">
        <f>'BID III'!B1227</f>
        <v>Belanja Barang Jasa</v>
      </c>
      <c r="I1029" s="1"/>
      <c r="J1029" s="1"/>
      <c r="K1029" s="91"/>
      <c r="L1029" s="1"/>
    </row>
    <row r="1030" spans="1:12" ht="45" x14ac:dyDescent="0.25">
      <c r="A1030" s="1"/>
      <c r="B1030" s="1"/>
      <c r="C1030" s="1"/>
      <c r="D1030" s="1"/>
      <c r="E1030" s="1"/>
      <c r="F1030" s="1">
        <v>7</v>
      </c>
      <c r="G1030" s="1"/>
      <c r="H1030" s="4" t="str">
        <f>'BID III'!B1228</f>
        <v>Belanja Barang dan Jasa yang Diserahkan Kepada Masyarakat</v>
      </c>
      <c r="I1030" s="1"/>
      <c r="J1030" s="1"/>
      <c r="K1030" s="91"/>
      <c r="L1030" s="1"/>
    </row>
    <row r="1031" spans="1:12" ht="60" x14ac:dyDescent="0.25">
      <c r="A1031" s="1"/>
      <c r="B1031" s="1"/>
      <c r="C1031" s="1"/>
      <c r="D1031" s="1"/>
      <c r="E1031" s="1"/>
      <c r="F1031" s="1"/>
      <c r="G1031" s="1488" t="s">
        <v>2696</v>
      </c>
      <c r="H1031" s="4" t="str">
        <f>'BID III'!B1229</f>
        <v>Belanja Bantuan Bangunan Yang Diserahkan Kepada Masyarakat</v>
      </c>
      <c r="I1031" s="1"/>
      <c r="J1031" s="1"/>
      <c r="K1031" s="91">
        <f>'BID III'!F1242</f>
        <v>0</v>
      </c>
      <c r="L1031" s="1" t="s">
        <v>1845</v>
      </c>
    </row>
    <row r="1032" spans="1:12" ht="60" x14ac:dyDescent="0.25">
      <c r="A1032" s="1027">
        <v>3</v>
      </c>
      <c r="B1032" s="1027">
        <v>4</v>
      </c>
      <c r="C1032" s="1491" t="s">
        <v>2697</v>
      </c>
      <c r="D1032" s="1027"/>
      <c r="E1032" s="1027"/>
      <c r="F1032" s="1027"/>
      <c r="G1032" s="1491"/>
      <c r="H1032" s="1028" t="str">
        <f>'BID III'!B1252</f>
        <v>Pemeliharaan Jalan Lingkungan Permukiman Pura Dalem Laplap ( RING BALOK)</v>
      </c>
      <c r="I1032" s="1027"/>
      <c r="J1032" s="1027"/>
      <c r="K1032" s="1492">
        <f>K1035</f>
        <v>0</v>
      </c>
      <c r="L1032" s="1027"/>
    </row>
    <row r="1033" spans="1:12" x14ac:dyDescent="0.25">
      <c r="A1033" s="1"/>
      <c r="B1033" s="1"/>
      <c r="C1033" s="1"/>
      <c r="D1033" s="1">
        <v>5</v>
      </c>
      <c r="E1033" s="1">
        <v>2</v>
      </c>
      <c r="F1033" s="1"/>
      <c r="G1033" s="1"/>
      <c r="H1033" s="4" t="str">
        <f>'BID III'!B1259</f>
        <v>Belanja Barang Jasa</v>
      </c>
      <c r="I1033" s="1"/>
      <c r="J1033" s="1"/>
      <c r="K1033" s="91"/>
      <c r="L1033" s="1"/>
    </row>
    <row r="1034" spans="1:12" ht="45" x14ac:dyDescent="0.25">
      <c r="A1034" s="1"/>
      <c r="B1034" s="1"/>
      <c r="C1034" s="1"/>
      <c r="D1034" s="1"/>
      <c r="E1034" s="1"/>
      <c r="F1034" s="1">
        <v>7</v>
      </c>
      <c r="G1034" s="1"/>
      <c r="H1034" s="4" t="str">
        <f>'BID III'!B1260</f>
        <v>Belanja Barang dan Jasa yang Diserahkan Kepada Masyarakat</v>
      </c>
      <c r="I1034" s="1"/>
      <c r="J1034" s="1"/>
      <c r="K1034" s="91"/>
      <c r="L1034" s="1"/>
    </row>
    <row r="1035" spans="1:12" ht="60" x14ac:dyDescent="0.25">
      <c r="A1035" s="1"/>
      <c r="B1035" s="1"/>
      <c r="C1035" s="1"/>
      <c r="D1035" s="1"/>
      <c r="E1035" s="1"/>
      <c r="F1035" s="1"/>
      <c r="G1035" s="1488" t="s">
        <v>2696</v>
      </c>
      <c r="H1035" s="4" t="str">
        <f>'BID III'!B1261</f>
        <v>Belanja Bantuan Bangunan Yang Diserahkan Kepada Masyarakat</v>
      </c>
      <c r="I1035" s="1"/>
      <c r="J1035" s="1"/>
      <c r="K1035" s="91">
        <f>'BID III'!F1274</f>
        <v>0</v>
      </c>
      <c r="L1035" s="1" t="s">
        <v>1845</v>
      </c>
    </row>
    <row r="1036" spans="1:12" ht="60" x14ac:dyDescent="0.25">
      <c r="A1036" s="1027">
        <v>3</v>
      </c>
      <c r="B1036" s="1027">
        <v>4</v>
      </c>
      <c r="C1036" s="1491" t="s">
        <v>2697</v>
      </c>
      <c r="D1036" s="1027"/>
      <c r="E1036" s="1027"/>
      <c r="F1036" s="1027"/>
      <c r="G1036" s="1491"/>
      <c r="H1036" s="1028" t="str">
        <f>'BID III'!B1288</f>
        <v>Pemeliharaan Jalan Lingkungan Permukiman Pura Dalem Laplap ( PLESTERAN )</v>
      </c>
      <c r="I1036" s="1027"/>
      <c r="J1036" s="1027"/>
      <c r="K1036" s="1492">
        <f>K1039</f>
        <v>0</v>
      </c>
      <c r="L1036" s="1027"/>
    </row>
    <row r="1037" spans="1:12" x14ac:dyDescent="0.25">
      <c r="A1037" s="1"/>
      <c r="B1037" s="1"/>
      <c r="C1037" s="1"/>
      <c r="D1037" s="1">
        <v>5</v>
      </c>
      <c r="E1037" s="1">
        <v>2</v>
      </c>
      <c r="F1037" s="1"/>
      <c r="G1037" s="1"/>
      <c r="H1037" s="4" t="str">
        <f>'BID III'!B1295</f>
        <v>Belanja Barang Jasa</v>
      </c>
      <c r="I1037" s="1"/>
      <c r="J1037" s="1"/>
      <c r="K1037" s="91"/>
      <c r="L1037" s="1"/>
    </row>
    <row r="1038" spans="1:12" ht="45" x14ac:dyDescent="0.25">
      <c r="A1038" s="1"/>
      <c r="B1038" s="1"/>
      <c r="C1038" s="1"/>
      <c r="D1038" s="1"/>
      <c r="E1038" s="1"/>
      <c r="F1038" s="1">
        <v>7</v>
      </c>
      <c r="G1038" s="1"/>
      <c r="H1038" s="4" t="str">
        <f>'BID III'!B1296</f>
        <v>Belanja Barang dan Jasa yang Diserahkan Kepada Masyarakat</v>
      </c>
      <c r="I1038" s="1"/>
      <c r="J1038" s="1"/>
      <c r="K1038" s="91"/>
      <c r="L1038" s="1"/>
    </row>
    <row r="1039" spans="1:12" ht="60" x14ac:dyDescent="0.25">
      <c r="A1039" s="1"/>
      <c r="B1039" s="1"/>
      <c r="C1039" s="1"/>
      <c r="D1039" s="1"/>
      <c r="E1039" s="1"/>
      <c r="F1039" s="1"/>
      <c r="G1039" s="1488" t="s">
        <v>2696</v>
      </c>
      <c r="H1039" s="4" t="str">
        <f>'BID III'!B1297</f>
        <v>Belanja Bantuan Bangunan Yang Diserahkan Kepada Masyarakat</v>
      </c>
      <c r="I1039" s="1"/>
      <c r="J1039" s="1"/>
      <c r="K1039" s="91">
        <f>'BID III'!F1305</f>
        <v>0</v>
      </c>
      <c r="L1039" s="1" t="s">
        <v>1845</v>
      </c>
    </row>
    <row r="1040" spans="1:12" ht="60" x14ac:dyDescent="0.25">
      <c r="A1040" s="1027">
        <v>3</v>
      </c>
      <c r="B1040" s="1027">
        <v>4</v>
      </c>
      <c r="C1040" s="1491" t="s">
        <v>2697</v>
      </c>
      <c r="D1040" s="1027"/>
      <c r="E1040" s="1027"/>
      <c r="F1040" s="1027"/>
      <c r="G1040" s="1491"/>
      <c r="H1040" s="1028" t="str">
        <f>'BID III'!B1315</f>
        <v>Pemeliharaan Jalan Lingkungan Permukiman Pura Dalem Laplap (BAN - BANAN PLESTERAN )</v>
      </c>
      <c r="I1040" s="1027"/>
      <c r="J1040" s="1027"/>
      <c r="K1040" s="1492">
        <f>K1043</f>
        <v>0</v>
      </c>
      <c r="L1040" s="1027"/>
    </row>
    <row r="1041" spans="1:12" x14ac:dyDescent="0.25">
      <c r="A1041" s="1"/>
      <c r="B1041" s="1"/>
      <c r="C1041" s="1"/>
      <c r="D1041" s="1">
        <v>5</v>
      </c>
      <c r="E1041" s="1">
        <v>2</v>
      </c>
      <c r="F1041" s="1"/>
      <c r="G1041" s="1"/>
      <c r="H1041" s="4" t="str">
        <f>'BID III'!B1322</f>
        <v>Belanja Barang Jasa</v>
      </c>
      <c r="I1041" s="1"/>
      <c r="J1041" s="1"/>
      <c r="K1041" s="91"/>
      <c r="L1041" s="1"/>
    </row>
    <row r="1042" spans="1:12" ht="45" x14ac:dyDescent="0.25">
      <c r="A1042" s="1"/>
      <c r="B1042" s="1"/>
      <c r="C1042" s="1"/>
      <c r="D1042" s="1"/>
      <c r="E1042" s="1"/>
      <c r="F1042" s="1">
        <v>7</v>
      </c>
      <c r="G1042" s="1"/>
      <c r="H1042" s="4" t="str">
        <f>'BID III'!B1323</f>
        <v>Belanja Barang dan Jasa yang Diserahkan Kepada Masyarakat</v>
      </c>
      <c r="I1042" s="1"/>
      <c r="J1042" s="1"/>
      <c r="K1042" s="91"/>
      <c r="L1042" s="1"/>
    </row>
    <row r="1043" spans="1:12" ht="60" x14ac:dyDescent="0.25">
      <c r="A1043" s="1"/>
      <c r="B1043" s="1"/>
      <c r="C1043" s="1"/>
      <c r="D1043" s="1"/>
      <c r="E1043" s="1"/>
      <c r="F1043" s="1"/>
      <c r="G1043" s="1488" t="s">
        <v>2696</v>
      </c>
      <c r="H1043" s="4" t="str">
        <f>'BID III'!B1324</f>
        <v>Belanja Bantuan Bangunan Yang Diserahkan Kepada Masyarakat</v>
      </c>
      <c r="I1043" s="1"/>
      <c r="J1043" s="1"/>
      <c r="K1043" s="91">
        <f>'BID III'!F1332</f>
        <v>0</v>
      </c>
      <c r="L1043" s="1" t="s">
        <v>1845</v>
      </c>
    </row>
    <row r="1044" spans="1:12" ht="75" x14ac:dyDescent="0.25">
      <c r="A1044" s="1027">
        <v>3</v>
      </c>
      <c r="B1044" s="1027">
        <v>4</v>
      </c>
      <c r="C1044" s="1491" t="s">
        <v>2697</v>
      </c>
      <c r="D1044" s="1027"/>
      <c r="E1044" s="1027"/>
      <c r="F1044" s="1027"/>
      <c r="G1044" s="1491"/>
      <c r="H1044" s="1028" t="str">
        <f>'BID III'!B1366</f>
        <v>Pemeliharaan Jalan Lingkungan Permukiman Pura Dalem Laplap (  PONDASI BETON TEMBOK BARU)</v>
      </c>
      <c r="I1044" s="1027"/>
      <c r="J1044" s="1027"/>
      <c r="K1044" s="1492">
        <f>K1047</f>
        <v>0</v>
      </c>
      <c r="L1044" s="1027"/>
    </row>
    <row r="1045" spans="1:12" x14ac:dyDescent="0.25">
      <c r="A1045" s="1"/>
      <c r="B1045" s="1"/>
      <c r="C1045" s="1"/>
      <c r="D1045" s="1">
        <v>5</v>
      </c>
      <c r="E1045" s="1">
        <v>2</v>
      </c>
      <c r="F1045" s="1"/>
      <c r="G1045" s="1"/>
      <c r="H1045" s="4" t="str">
        <f>'BID III'!B1373</f>
        <v>Belanja Barang Jasa</v>
      </c>
      <c r="I1045" s="1"/>
      <c r="J1045" s="1"/>
      <c r="K1045" s="91"/>
      <c r="L1045" s="1"/>
    </row>
    <row r="1046" spans="1:12" ht="45" x14ac:dyDescent="0.25">
      <c r="A1046" s="1"/>
      <c r="B1046" s="1"/>
      <c r="C1046" s="1"/>
      <c r="D1046" s="1"/>
      <c r="E1046" s="1"/>
      <c r="F1046" s="1">
        <v>7</v>
      </c>
      <c r="G1046" s="1"/>
      <c r="H1046" s="4" t="str">
        <f>'BID III'!B1374</f>
        <v>Belanja Barang dan Jasa yang Diserahkan Kepada Masyarakat</v>
      </c>
      <c r="I1046" s="1"/>
      <c r="J1046" s="1"/>
      <c r="K1046" s="91"/>
      <c r="L1046" s="1"/>
    </row>
    <row r="1047" spans="1:12" ht="60" x14ac:dyDescent="0.25">
      <c r="A1047" s="1"/>
      <c r="B1047" s="1"/>
      <c r="C1047" s="1"/>
      <c r="D1047" s="1"/>
      <c r="E1047" s="1"/>
      <c r="F1047" s="1"/>
      <c r="G1047" s="1488" t="s">
        <v>2696</v>
      </c>
      <c r="H1047" s="4" t="str">
        <f>'BID III'!B1375</f>
        <v>Belanja Bantuan Bangunan Yang Diserahkan Kepada Masyarakat</v>
      </c>
      <c r="I1047" s="1"/>
      <c r="J1047" s="1"/>
      <c r="K1047" s="91">
        <f>'BID III'!F1384</f>
        <v>0</v>
      </c>
      <c r="L1047" s="1" t="s">
        <v>1845</v>
      </c>
    </row>
    <row r="1048" spans="1:12" ht="75" x14ac:dyDescent="0.25">
      <c r="A1048" s="1027">
        <v>3</v>
      </c>
      <c r="B1048" s="1027">
        <v>4</v>
      </c>
      <c r="C1048" s="1491" t="s">
        <v>2697</v>
      </c>
      <c r="D1048" s="1027"/>
      <c r="E1048" s="1027"/>
      <c r="F1048" s="1027"/>
      <c r="G1048" s="1491"/>
      <c r="H1048" s="1028" t="str">
        <f>'BID III'!B1394</f>
        <v>Pemeliharaan Jalan Lingkungan Permukiman Pura Dalem Laplap (  PEMBESIAN PONDASI TEMBOK BARU)</v>
      </c>
      <c r="I1048" s="1027"/>
      <c r="J1048" s="1027"/>
      <c r="K1048" s="1492">
        <f>K1051</f>
        <v>0</v>
      </c>
      <c r="L1048" s="1027" t="s">
        <v>1845</v>
      </c>
    </row>
    <row r="1049" spans="1:12" x14ac:dyDescent="0.25">
      <c r="A1049" s="1"/>
      <c r="B1049" s="1"/>
      <c r="C1049" s="1"/>
      <c r="D1049" s="1">
        <v>5</v>
      </c>
      <c r="E1049" s="1">
        <v>2</v>
      </c>
      <c r="F1049" s="1"/>
      <c r="G1049" s="1"/>
      <c r="H1049" s="4" t="str">
        <f>'BID III'!B1401</f>
        <v>Belanja Barang Jasa</v>
      </c>
      <c r="I1049" s="1"/>
      <c r="J1049" s="1"/>
      <c r="K1049" s="91"/>
      <c r="L1049" s="1"/>
    </row>
    <row r="1050" spans="1:12" ht="45" x14ac:dyDescent="0.25">
      <c r="A1050" s="1"/>
      <c r="B1050" s="1"/>
      <c r="C1050" s="1"/>
      <c r="D1050" s="1"/>
      <c r="E1050" s="1"/>
      <c r="F1050" s="1">
        <v>7</v>
      </c>
      <c r="G1050" s="1"/>
      <c r="H1050" s="4" t="str">
        <f>'BID III'!B1402</f>
        <v>Belanja Barang dan Jasa yang Diserahkan Kepada Masyarakat</v>
      </c>
      <c r="I1050" s="1"/>
      <c r="J1050" s="1"/>
      <c r="K1050" s="91"/>
      <c r="L1050" s="1"/>
    </row>
    <row r="1051" spans="1:12" ht="60" x14ac:dyDescent="0.25">
      <c r="A1051" s="1"/>
      <c r="B1051" s="1"/>
      <c r="C1051" s="1"/>
      <c r="D1051" s="1"/>
      <c r="E1051" s="1"/>
      <c r="F1051" s="1"/>
      <c r="G1051" s="1488" t="s">
        <v>2696</v>
      </c>
      <c r="H1051" s="4" t="str">
        <f>'BID III'!B1403</f>
        <v>Belanja Bantuan Bangunan Yang Diserahkan Kepada Masyarakat</v>
      </c>
      <c r="I1051" s="1"/>
      <c r="J1051" s="1"/>
      <c r="K1051" s="91">
        <f>'BID III'!F1410</f>
        <v>0</v>
      </c>
      <c r="L1051" s="1" t="s">
        <v>1845</v>
      </c>
    </row>
    <row r="1052" spans="1:12" ht="75" x14ac:dyDescent="0.25">
      <c r="A1052" s="1027">
        <v>3</v>
      </c>
      <c r="B1052" s="1027">
        <v>4</v>
      </c>
      <c r="C1052" s="1491" t="s">
        <v>2697</v>
      </c>
      <c r="D1052" s="1027"/>
      <c r="E1052" s="1027"/>
      <c r="F1052" s="1027"/>
      <c r="G1052" s="1491"/>
      <c r="H1052" s="1028" t="str">
        <f>'BID III'!B1420</f>
        <v>Pemeliharaan Jalan Lingkungan Permukiman Pura Dalem Laplap (  URUGAN TANAH  TEMBOK BARU)</v>
      </c>
      <c r="I1052" s="1027"/>
      <c r="J1052" s="1027"/>
      <c r="K1052" s="1492">
        <f>K1055</f>
        <v>0</v>
      </c>
      <c r="L1052" s="1027" t="s">
        <v>1845</v>
      </c>
    </row>
    <row r="1053" spans="1:12" x14ac:dyDescent="0.25">
      <c r="A1053" s="1"/>
      <c r="B1053" s="1"/>
      <c r="C1053" s="1"/>
      <c r="D1053" s="1">
        <v>5</v>
      </c>
      <c r="E1053" s="1">
        <v>2</v>
      </c>
      <c r="F1053" s="1"/>
      <c r="G1053" s="1"/>
      <c r="H1053" s="4" t="str">
        <f>'BID III'!B1427</f>
        <v>Belanja Barang Jasa</v>
      </c>
      <c r="I1053" s="1"/>
      <c r="J1053" s="1"/>
      <c r="K1053" s="91"/>
      <c r="L1053" s="1"/>
    </row>
    <row r="1054" spans="1:12" ht="45" x14ac:dyDescent="0.25">
      <c r="A1054" s="1"/>
      <c r="B1054" s="1"/>
      <c r="C1054" s="1"/>
      <c r="D1054" s="1"/>
      <c r="E1054" s="1"/>
      <c r="F1054" s="1">
        <v>7</v>
      </c>
      <c r="G1054" s="1"/>
      <c r="H1054" s="4" t="str">
        <f>'BID III'!B1428</f>
        <v>Belanja Barang dan Jasa yang Diserahkan Kepada Masyarakat</v>
      </c>
      <c r="I1054" s="1"/>
      <c r="J1054" s="1"/>
      <c r="K1054" s="91"/>
      <c r="L1054" s="1"/>
    </row>
    <row r="1055" spans="1:12" ht="60" x14ac:dyDescent="0.25">
      <c r="A1055" s="1"/>
      <c r="B1055" s="1"/>
      <c r="C1055" s="1"/>
      <c r="D1055" s="1"/>
      <c r="E1055" s="1"/>
      <c r="F1055" s="1"/>
      <c r="G1055" s="1488" t="s">
        <v>2696</v>
      </c>
      <c r="H1055" s="4" t="str">
        <f>'BID III'!B1429</f>
        <v>Belanja Bantuan Bangunan Yang Diserahkan Kepada Masyarakat</v>
      </c>
      <c r="I1055" s="1"/>
      <c r="J1055" s="1"/>
      <c r="K1055" s="91">
        <f>'BID III'!F1436</f>
        <v>0</v>
      </c>
      <c r="L1055" s="1" t="s">
        <v>1845</v>
      </c>
    </row>
    <row r="1056" spans="1:12" ht="75" x14ac:dyDescent="0.25">
      <c r="A1056" s="1027">
        <v>3</v>
      </c>
      <c r="B1056" s="1027">
        <v>4</v>
      </c>
      <c r="C1056" s="1491" t="s">
        <v>2697</v>
      </c>
      <c r="D1056" s="1027"/>
      <c r="E1056" s="1027"/>
      <c r="F1056" s="1027"/>
      <c r="G1056" s="1491"/>
      <c r="H1056" s="1028" t="str">
        <f>'BID III'!B1446</f>
        <v>Pemeliharaan Jalan Lingkungan Permukiman Pura Dalem Laplap ( PLESTERAN TEMBOK bARU )</v>
      </c>
      <c r="I1056" s="1027"/>
      <c r="J1056" s="1027"/>
      <c r="K1056" s="1492">
        <f>K1059</f>
        <v>0</v>
      </c>
      <c r="L1056" s="1027"/>
    </row>
    <row r="1057" spans="1:14" x14ac:dyDescent="0.25">
      <c r="A1057" s="1"/>
      <c r="B1057" s="1"/>
      <c r="C1057" s="1"/>
      <c r="D1057" s="1">
        <v>5</v>
      </c>
      <c r="E1057" s="1">
        <v>2</v>
      </c>
      <c r="F1057" s="1"/>
      <c r="G1057" s="1"/>
      <c r="H1057" s="4" t="str">
        <f>'BID III'!B1453</f>
        <v>Belanja Barang Jasa</v>
      </c>
      <c r="I1057" s="1"/>
      <c r="J1057" s="1"/>
      <c r="K1057" s="91"/>
      <c r="L1057" s="1"/>
    </row>
    <row r="1058" spans="1:14" ht="45" x14ac:dyDescent="0.25">
      <c r="A1058" s="1"/>
      <c r="B1058" s="1"/>
      <c r="C1058" s="1"/>
      <c r="D1058" s="1"/>
      <c r="E1058" s="1"/>
      <c r="F1058" s="1">
        <v>7</v>
      </c>
      <c r="G1058" s="1"/>
      <c r="H1058" s="4" t="str">
        <f>'BID III'!B1454</f>
        <v>Belanja Barang dan Jasa yang Diserahkan Kepada Masyarakat</v>
      </c>
      <c r="I1058" s="1"/>
      <c r="J1058" s="1"/>
      <c r="K1058" s="91"/>
      <c r="L1058" s="1"/>
    </row>
    <row r="1059" spans="1:14" ht="60" x14ac:dyDescent="0.25">
      <c r="A1059" s="1"/>
      <c r="B1059" s="1"/>
      <c r="C1059" s="1"/>
      <c r="D1059" s="1"/>
      <c r="E1059" s="1"/>
      <c r="F1059" s="1"/>
      <c r="G1059" s="1488" t="s">
        <v>2696</v>
      </c>
      <c r="H1059" s="4" t="str">
        <f>'BID III'!B1455</f>
        <v>Belanja Bantuan Bangunan Yang Diserahkan Kepada Masyarakat</v>
      </c>
      <c r="I1059" s="1"/>
      <c r="J1059" s="1"/>
      <c r="K1059" s="91">
        <f>'BID III'!F1463</f>
        <v>0</v>
      </c>
      <c r="L1059" s="1" t="s">
        <v>1845</v>
      </c>
    </row>
    <row r="1060" spans="1:14" ht="75" x14ac:dyDescent="0.25">
      <c r="A1060" s="1027">
        <v>3</v>
      </c>
      <c r="B1060" s="1027">
        <v>4</v>
      </c>
      <c r="C1060" s="1491" t="s">
        <v>2697</v>
      </c>
      <c r="D1060" s="1027"/>
      <c r="E1060" s="1027"/>
      <c r="F1060" s="1027"/>
      <c r="G1060" s="1491"/>
      <c r="H1060" s="1028" t="str">
        <f>'BID III'!B1475</f>
        <v>Pemeliharaan Jalan Lingkungan Permukiman Pura Dalem Laplap (BAN - BANAN PLESTERAN TEMBOK BARU )</v>
      </c>
      <c r="I1060" s="1027"/>
      <c r="J1060" s="1027"/>
      <c r="K1060" s="1492">
        <f>K1063</f>
        <v>0</v>
      </c>
      <c r="L1060" s="1027"/>
    </row>
    <row r="1061" spans="1:14" x14ac:dyDescent="0.25">
      <c r="A1061" s="1"/>
      <c r="B1061" s="1"/>
      <c r="C1061" s="1"/>
      <c r="D1061" s="1">
        <v>5</v>
      </c>
      <c r="E1061" s="1">
        <v>2</v>
      </c>
      <c r="F1061" s="1"/>
      <c r="G1061" s="1"/>
      <c r="H1061" s="4" t="str">
        <f>'BID III'!B1482</f>
        <v>Belanja Barang Jasa</v>
      </c>
      <c r="I1061" s="1"/>
      <c r="J1061" s="1"/>
      <c r="K1061" s="91"/>
      <c r="L1061" s="1"/>
    </row>
    <row r="1062" spans="1:14" ht="45" x14ac:dyDescent="0.25">
      <c r="A1062" s="1"/>
      <c r="B1062" s="1"/>
      <c r="C1062" s="1"/>
      <c r="D1062" s="1"/>
      <c r="E1062" s="1"/>
      <c r="F1062" s="1">
        <v>7</v>
      </c>
      <c r="G1062" s="1"/>
      <c r="H1062" s="4" t="str">
        <f>'BID III'!B1483</f>
        <v>Belanja Barang dan Jasa yang Diserahkan Kepada Masyarakat</v>
      </c>
      <c r="I1062" s="1"/>
      <c r="J1062" s="1"/>
      <c r="K1062" s="91"/>
      <c r="L1062" s="1"/>
    </row>
    <row r="1063" spans="1:14" ht="60" x14ac:dyDescent="0.25">
      <c r="A1063" s="1"/>
      <c r="B1063" s="1"/>
      <c r="C1063" s="1"/>
      <c r="D1063" s="1"/>
      <c r="E1063" s="1"/>
      <c r="F1063" s="1"/>
      <c r="G1063" s="1488" t="s">
        <v>2696</v>
      </c>
      <c r="H1063" s="4" t="str">
        <f>'BID III'!B1486</f>
        <v>Belanja Bantuan Bangunan Yang Diserahkan Kepada Masyarakat</v>
      </c>
      <c r="I1063" s="1"/>
      <c r="J1063" s="1"/>
      <c r="K1063" s="91">
        <f>'BID III'!F1492</f>
        <v>0</v>
      </c>
      <c r="L1063" s="1" t="s">
        <v>1845</v>
      </c>
    </row>
    <row r="1064" spans="1:14" ht="75" x14ac:dyDescent="0.25">
      <c r="A1064" s="1027">
        <v>3</v>
      </c>
      <c r="B1064" s="1027">
        <v>4</v>
      </c>
      <c r="C1064" s="1491" t="s">
        <v>2697</v>
      </c>
      <c r="D1064" s="1027"/>
      <c r="E1064" s="1027"/>
      <c r="F1064" s="1027"/>
      <c r="G1064" s="1491"/>
      <c r="H1064" s="1028" t="str">
        <f>'BID III'!B1502</f>
        <v>Pemeliharaan Jalan Lingkungan Permukiman/Pengorong Desa Adat Bekul (Pemavingan)</v>
      </c>
      <c r="I1064" s="1027"/>
      <c r="J1064" s="1027"/>
      <c r="K1064" s="1492">
        <f>K1067</f>
        <v>0</v>
      </c>
      <c r="L1064" s="1027"/>
    </row>
    <row r="1065" spans="1:14" x14ac:dyDescent="0.25">
      <c r="A1065" s="1"/>
      <c r="B1065" s="1"/>
      <c r="C1065" s="1"/>
      <c r="D1065" s="1">
        <v>5</v>
      </c>
      <c r="E1065" s="1">
        <v>2</v>
      </c>
      <c r="F1065" s="1"/>
      <c r="G1065" s="1"/>
      <c r="H1065" s="4" t="str">
        <f>'BID III'!B1509</f>
        <v>Belanja Barang Jasa</v>
      </c>
      <c r="I1065" s="1"/>
      <c r="J1065" s="1"/>
      <c r="K1065" s="91"/>
      <c r="L1065" s="1"/>
    </row>
    <row r="1066" spans="1:14" ht="45" x14ac:dyDescent="0.25">
      <c r="A1066" s="1"/>
      <c r="B1066" s="1"/>
      <c r="C1066" s="1"/>
      <c r="D1066" s="1"/>
      <c r="E1066" s="1"/>
      <c r="F1066" s="1">
        <v>7</v>
      </c>
      <c r="G1066" s="1"/>
      <c r="H1066" s="4" t="str">
        <f>'BID III'!B1510</f>
        <v>Belanja Barang dan Jasa yang Diserahkan Kepada Masyarakat</v>
      </c>
      <c r="I1066" s="1"/>
      <c r="J1066" s="1"/>
      <c r="K1066" s="91"/>
      <c r="L1066" s="1"/>
    </row>
    <row r="1067" spans="1:14" ht="60" x14ac:dyDescent="0.25">
      <c r="A1067" s="1"/>
      <c r="B1067" s="1"/>
      <c r="C1067" s="1"/>
      <c r="D1067" s="1"/>
      <c r="E1067" s="1"/>
      <c r="F1067" s="1"/>
      <c r="G1067" s="1488" t="s">
        <v>2696</v>
      </c>
      <c r="H1067" s="4" t="str">
        <f>'BID III'!B1511</f>
        <v>Belanja Bantuan Bangunan Yang Diserahkan Kepada Masyarakat</v>
      </c>
      <c r="I1067" s="1"/>
      <c r="J1067" s="1"/>
      <c r="K1067" s="91">
        <f>'BID III'!F1522</f>
        <v>0</v>
      </c>
      <c r="L1067" s="1" t="s">
        <v>1845</v>
      </c>
    </row>
    <row r="1068" spans="1:14" ht="75" x14ac:dyDescent="0.25">
      <c r="A1068" s="1027">
        <v>3</v>
      </c>
      <c r="B1068" s="1027">
        <v>4</v>
      </c>
      <c r="C1068" s="1491" t="s">
        <v>2697</v>
      </c>
      <c r="D1068" s="1027"/>
      <c r="E1068" s="1027"/>
      <c r="F1068" s="1027"/>
      <c r="G1068" s="1491"/>
      <c r="H1068" s="1028" t="str">
        <f>'BID III'!B1531</f>
        <v>Pemeliharaan Jalan Lingkungan Permukiman/Pengorong Desa Adat Bekul (Rabat Beton)</v>
      </c>
      <c r="I1068" s="1027"/>
      <c r="J1068" s="1027"/>
      <c r="K1068" s="1492">
        <f>K1071</f>
        <v>0</v>
      </c>
      <c r="L1068" s="1027"/>
    </row>
    <row r="1069" spans="1:14" x14ac:dyDescent="0.25">
      <c r="A1069" s="1"/>
      <c r="B1069" s="1"/>
      <c r="C1069" s="1"/>
      <c r="D1069" s="1">
        <v>5</v>
      </c>
      <c r="E1069" s="1">
        <v>2</v>
      </c>
      <c r="F1069" s="1"/>
      <c r="G1069" s="1"/>
      <c r="H1069" s="4" t="str">
        <f>'BID III'!B1538</f>
        <v>Belanja Barang Jasa</v>
      </c>
      <c r="I1069" s="1"/>
      <c r="J1069" s="1"/>
      <c r="K1069" s="91"/>
      <c r="L1069" s="1"/>
    </row>
    <row r="1070" spans="1:14" ht="45" x14ac:dyDescent="0.25">
      <c r="A1070" s="1"/>
      <c r="B1070" s="1"/>
      <c r="C1070" s="1"/>
      <c r="D1070" s="1"/>
      <c r="E1070" s="1"/>
      <c r="F1070" s="1">
        <v>7</v>
      </c>
      <c r="G1070" s="1"/>
      <c r="H1070" s="4" t="str">
        <f>'BID III'!B1539</f>
        <v>Belanja Barang dan Jasa yang Diserahkan Kepada Masyarakat</v>
      </c>
      <c r="I1070" s="1"/>
      <c r="J1070" s="1"/>
      <c r="K1070" s="91"/>
      <c r="L1070" s="1"/>
    </row>
    <row r="1071" spans="1:14" ht="60" x14ac:dyDescent="0.25">
      <c r="A1071" s="1"/>
      <c r="B1071" s="1"/>
      <c r="C1071" s="1"/>
      <c r="D1071" s="1"/>
      <c r="E1071" s="1"/>
      <c r="F1071" s="1"/>
      <c r="G1071" s="1488" t="s">
        <v>2696</v>
      </c>
      <c r="H1071" s="4" t="str">
        <f>'BID III'!B1540</f>
        <v>Belanja Bantuan Bangunan Yang Diserahkan Kepada Masyarakat</v>
      </c>
      <c r="I1071" s="1"/>
      <c r="J1071" s="1"/>
      <c r="K1071" s="91">
        <f>'BID III'!F1549</f>
        <v>0</v>
      </c>
      <c r="L1071" s="1" t="s">
        <v>1845</v>
      </c>
    </row>
    <row r="1072" spans="1:14" ht="30" x14ac:dyDescent="0.25">
      <c r="A1072" s="1489">
        <v>4</v>
      </c>
      <c r="B1072" s="1489"/>
      <c r="C1072" s="1489"/>
      <c r="D1072" s="1489"/>
      <c r="E1072" s="1489"/>
      <c r="F1072" s="1489"/>
      <c r="G1072" s="1489"/>
      <c r="H1072" s="1490" t="str">
        <f>'BID IV'!B5</f>
        <v>: Pemberdayaan Masyarakat Desa</v>
      </c>
      <c r="I1072" s="1489"/>
      <c r="J1072" s="1489"/>
      <c r="K1072" s="1495">
        <f>K1073+K1084+K1095+K1103+K1112+K1130+K1137+K1148+K1159+K1179+K1183+K1189+K1194+K1200+K1122+K1171</f>
        <v>396288084.64285713</v>
      </c>
      <c r="L1072" s="1489"/>
      <c r="M1072" s="83">
        <f>Htungan!Y11</f>
        <v>2204332300</v>
      </c>
      <c r="N1072" s="32">
        <f>M1072-K1072</f>
        <v>1808044215.3571429</v>
      </c>
    </row>
    <row r="1073" spans="1:13" ht="60" x14ac:dyDescent="0.25">
      <c r="A1073" s="1027">
        <v>4</v>
      </c>
      <c r="B1073" s="1027">
        <v>2</v>
      </c>
      <c r="C1073" s="1491" t="s">
        <v>2679</v>
      </c>
      <c r="D1073" s="1027"/>
      <c r="E1073" s="1027"/>
      <c r="F1073" s="1027"/>
      <c r="G1073" s="1027"/>
      <c r="H1073" s="1028" t="str">
        <f>'BID IV'!B7</f>
        <v xml:space="preserve">: (Ketahanan Pangan) Pelatihan Budidaya Maggot Black Soldier Fly (BSF) </v>
      </c>
      <c r="I1073" s="1027"/>
      <c r="J1073" s="1027"/>
      <c r="K1073" s="1492">
        <f>SUM(K1074:K1083)</f>
        <v>14791000</v>
      </c>
      <c r="L1073" s="1027"/>
      <c r="M1073" s="32">
        <f>'BID IV'!F48</f>
        <v>14791000</v>
      </c>
    </row>
    <row r="1074" spans="1:13" x14ac:dyDescent="0.25">
      <c r="A1074" s="1"/>
      <c r="B1074" s="1"/>
      <c r="C1074" s="1"/>
      <c r="D1074" s="1">
        <v>5</v>
      </c>
      <c r="E1074" s="1">
        <v>2</v>
      </c>
      <c r="F1074" s="1"/>
      <c r="G1074" s="1"/>
      <c r="H1074" s="4" t="str">
        <f>'BID IV'!B12</f>
        <v>Belanja Barang Dan Jasa</v>
      </c>
      <c r="I1074" s="1"/>
      <c r="J1074" s="1"/>
      <c r="K1074" s="91"/>
      <c r="L1074" s="1"/>
    </row>
    <row r="1075" spans="1:13" ht="30" x14ac:dyDescent="0.25">
      <c r="A1075" s="1"/>
      <c r="B1075" s="1"/>
      <c r="C1075" s="1"/>
      <c r="D1075" s="1"/>
      <c r="E1075" s="1"/>
      <c r="F1075" s="1">
        <v>1</v>
      </c>
      <c r="G1075" s="1"/>
      <c r="H1075" s="4" t="str">
        <f>'BID IV'!B13</f>
        <v>Belanja Barang Perlengkapan</v>
      </c>
      <c r="I1075" s="1"/>
      <c r="J1075" s="1"/>
      <c r="K1075" s="91"/>
      <c r="L1075" s="1"/>
    </row>
    <row r="1076" spans="1:13" ht="30" x14ac:dyDescent="0.25">
      <c r="A1076" s="1"/>
      <c r="B1076" s="1"/>
      <c r="C1076" s="1"/>
      <c r="D1076" s="1"/>
      <c r="E1076" s="1"/>
      <c r="F1076" s="1"/>
      <c r="G1076" s="1488" t="s">
        <v>2700</v>
      </c>
      <c r="H1076" s="4" t="str">
        <f>'BID IV'!B14</f>
        <v>Belanja Perlengkapan Barang Konsumsi</v>
      </c>
      <c r="I1076" s="1"/>
      <c r="J1076" s="1"/>
      <c r="K1076" s="91">
        <f>SUM('BID IV'!F15)</f>
        <v>300000</v>
      </c>
      <c r="L1076" s="1" t="s">
        <v>1711</v>
      </c>
    </row>
    <row r="1077" spans="1:13" ht="30" x14ac:dyDescent="0.25">
      <c r="A1077" s="1"/>
      <c r="B1077" s="1"/>
      <c r="C1077" s="1"/>
      <c r="D1077" s="1"/>
      <c r="E1077" s="1"/>
      <c r="F1077" s="1"/>
      <c r="G1077" s="1488" t="s">
        <v>2702</v>
      </c>
      <c r="H1077" s="4" t="str">
        <f>'BID IV'!B17</f>
        <v>Belanja Bendera/ Umbul-umbul/ Spanduk</v>
      </c>
      <c r="I1077" s="1"/>
      <c r="J1077" s="1"/>
      <c r="K1077" s="91">
        <f>'BID IV'!F18</f>
        <v>90000</v>
      </c>
      <c r="L1077" s="1" t="s">
        <v>1711</v>
      </c>
    </row>
    <row r="1078" spans="1:13" ht="30" x14ac:dyDescent="0.25">
      <c r="A1078" s="1"/>
      <c r="B1078" s="1"/>
      <c r="C1078" s="1"/>
      <c r="D1078" s="1"/>
      <c r="E1078" s="1"/>
      <c r="F1078" s="1"/>
      <c r="G1078" s="1">
        <v>90</v>
      </c>
      <c r="H1078" s="4" t="str">
        <f>'BID IV'!B20</f>
        <v>Belanja Upakara, Upacara dan Aci</v>
      </c>
      <c r="I1078" s="1"/>
      <c r="J1078" s="1"/>
      <c r="K1078" s="91">
        <f>SUM('BID IV'!F21:F23)</f>
        <v>75000</v>
      </c>
      <c r="L1078" s="1" t="s">
        <v>1711</v>
      </c>
    </row>
    <row r="1079" spans="1:13" x14ac:dyDescent="0.25">
      <c r="A1079" s="1"/>
      <c r="B1079" s="1"/>
      <c r="C1079" s="1"/>
      <c r="D1079" s="1">
        <v>5</v>
      </c>
      <c r="E1079" s="1">
        <v>2</v>
      </c>
      <c r="F1079" s="1">
        <v>2</v>
      </c>
      <c r="G1079" s="1"/>
      <c r="H1079" s="4" t="str">
        <f>'BID IV'!B25</f>
        <v>Belanja Jasa Honorarium</v>
      </c>
      <c r="I1079" s="1"/>
      <c r="J1079" s="1"/>
      <c r="K1079" s="91"/>
      <c r="L1079" s="1"/>
    </row>
    <row r="1080" spans="1:13" ht="45" x14ac:dyDescent="0.25">
      <c r="A1080" s="1"/>
      <c r="B1080" s="1"/>
      <c r="C1080" s="1"/>
      <c r="D1080" s="1"/>
      <c r="E1080" s="1"/>
      <c r="F1080" s="1"/>
      <c r="G1080" s="1488" t="s">
        <v>2679</v>
      </c>
      <c r="H1080" s="4" t="str">
        <f>'BID IV'!B26</f>
        <v>Belanja Jasa Honorarium Tim Yang Melaksanakan Kegiatan</v>
      </c>
      <c r="I1080" s="1"/>
      <c r="J1080" s="1"/>
      <c r="K1080" s="91">
        <f>SUM('BID IV'!F27:F29)</f>
        <v>1150000</v>
      </c>
      <c r="L1080" s="1" t="s">
        <v>1711</v>
      </c>
    </row>
    <row r="1081" spans="1:13" ht="45" x14ac:dyDescent="0.25">
      <c r="A1081" s="1"/>
      <c r="B1081" s="1"/>
      <c r="C1081" s="1"/>
      <c r="D1081" s="1"/>
      <c r="E1081" s="1"/>
      <c r="F1081" s="1"/>
      <c r="G1081" s="1488" t="s">
        <v>2697</v>
      </c>
      <c r="H1081" s="4" t="str">
        <f>'BID IV'!B31</f>
        <v>Belanja Jasa Honorarium Ahli/Profesi/Konsultan/Narasumber</v>
      </c>
      <c r="I1081" s="1"/>
      <c r="J1081" s="1"/>
      <c r="K1081" s="91">
        <f>'BID IV'!F32</f>
        <v>1200000</v>
      </c>
      <c r="L1081" s="1" t="s">
        <v>1711</v>
      </c>
    </row>
    <row r="1082" spans="1:13" ht="45" x14ac:dyDescent="0.25">
      <c r="A1082" s="1"/>
      <c r="B1082" s="1"/>
      <c r="C1082" s="1"/>
      <c r="D1082" s="1">
        <v>5</v>
      </c>
      <c r="E1082" s="1">
        <v>2</v>
      </c>
      <c r="F1082" s="1">
        <v>7</v>
      </c>
      <c r="G1082" s="1"/>
      <c r="H1082" s="4" t="str">
        <f>'BID IV'!B34</f>
        <v>Belanja Barang Dan jasa Yang Diserahkan Kepada Masyarakat</v>
      </c>
      <c r="I1082" s="1"/>
      <c r="J1082" s="1"/>
      <c r="K1082" s="91"/>
      <c r="L1082" s="1"/>
    </row>
    <row r="1083" spans="1:13" ht="60" x14ac:dyDescent="0.25">
      <c r="A1083" s="1"/>
      <c r="B1083" s="1"/>
      <c r="C1083" s="1"/>
      <c r="D1083" s="1"/>
      <c r="E1083" s="1"/>
      <c r="F1083" s="1"/>
      <c r="G1083" s="1488" t="s">
        <v>2679</v>
      </c>
      <c r="H1083" s="4" t="str">
        <f>'BID IV'!B35</f>
        <v>Belanja Bahan Perlengkapan Yang Diserahkan Ke Masyarakat</v>
      </c>
      <c r="I1083" s="1"/>
      <c r="J1083" s="1"/>
      <c r="K1083" s="91">
        <f>SUM('BID IV'!F36:F46)</f>
        <v>11976000</v>
      </c>
      <c r="L1083" s="1" t="s">
        <v>1711</v>
      </c>
    </row>
    <row r="1084" spans="1:13" ht="60" x14ac:dyDescent="0.25">
      <c r="A1084" s="1027">
        <v>4</v>
      </c>
      <c r="B1084" s="1027">
        <v>2</v>
      </c>
      <c r="C1084" s="1491" t="s">
        <v>2696</v>
      </c>
      <c r="D1084" s="1027"/>
      <c r="E1084" s="1027"/>
      <c r="F1084" s="1027"/>
      <c r="G1084" s="1027"/>
      <c r="H1084" s="1028" t="str">
        <f>'BID IV'!B63</f>
        <v>: Penguatan Ketahanan Pangan Tingkat Desa (Penanaman Bunga Gumitir)</v>
      </c>
      <c r="I1084" s="1027"/>
      <c r="J1084" s="1027"/>
      <c r="K1084" s="1492">
        <f>SUM(K1085:K1094)</f>
        <v>28860000</v>
      </c>
      <c r="L1084" s="1027"/>
      <c r="M1084" s="32">
        <f>'BID IV'!F100</f>
        <v>28860000</v>
      </c>
    </row>
    <row r="1085" spans="1:13" x14ac:dyDescent="0.25">
      <c r="A1085" s="1"/>
      <c r="B1085" s="1"/>
      <c r="C1085" s="1"/>
      <c r="D1085" s="1">
        <v>5</v>
      </c>
      <c r="E1085" s="1">
        <v>2</v>
      </c>
      <c r="F1085" s="1"/>
      <c r="G1085" s="1"/>
      <c r="H1085" s="4" t="str">
        <f>'BID IV'!B70</f>
        <v>Belanja Barang Dan Jasa</v>
      </c>
      <c r="I1085" s="1"/>
      <c r="J1085" s="1"/>
      <c r="K1085" s="91"/>
      <c r="L1085" s="1"/>
    </row>
    <row r="1086" spans="1:13" ht="30" x14ac:dyDescent="0.25">
      <c r="A1086" s="1"/>
      <c r="B1086" s="1"/>
      <c r="C1086" s="1"/>
      <c r="D1086" s="1"/>
      <c r="E1086" s="1"/>
      <c r="F1086" s="1">
        <v>1</v>
      </c>
      <c r="G1086" s="1"/>
      <c r="H1086" s="4" t="str">
        <f>'BID IV'!B71</f>
        <v>Belanja Barang Perlengkapan</v>
      </c>
      <c r="I1086" s="1"/>
      <c r="J1086" s="1"/>
      <c r="K1086" s="91"/>
      <c r="L1086" s="1"/>
    </row>
    <row r="1087" spans="1:13" ht="30" x14ac:dyDescent="0.25">
      <c r="A1087" s="1"/>
      <c r="B1087" s="1"/>
      <c r="C1087" s="1"/>
      <c r="D1087" s="1"/>
      <c r="E1087" s="1"/>
      <c r="F1087" s="1"/>
      <c r="G1087" s="1488" t="s">
        <v>2700</v>
      </c>
      <c r="H1087" s="4" t="str">
        <f>'BID IV'!B72</f>
        <v>Belanja Perlengkapan Barang Konsumsi</v>
      </c>
      <c r="I1087" s="1"/>
      <c r="J1087" s="1"/>
      <c r="K1087" s="91">
        <f>SUM('BID IV'!F73)</f>
        <v>525000</v>
      </c>
      <c r="L1087" s="1" t="s">
        <v>1711</v>
      </c>
    </row>
    <row r="1088" spans="1:13" ht="30" x14ac:dyDescent="0.25">
      <c r="A1088" s="1"/>
      <c r="B1088" s="1"/>
      <c r="C1088" s="1"/>
      <c r="D1088" s="1"/>
      <c r="E1088" s="1"/>
      <c r="F1088" s="1"/>
      <c r="G1088" s="1488" t="s">
        <v>2702</v>
      </c>
      <c r="H1088" s="4" t="str">
        <f>'BID IV'!B75</f>
        <v>Belanja Bendera/ Umbul-umbul/ Spanduk</v>
      </c>
      <c r="I1088" s="1"/>
      <c r="J1088" s="1"/>
      <c r="K1088" s="91">
        <f>'BID IV'!F76</f>
        <v>90000</v>
      </c>
      <c r="L1088" s="1" t="s">
        <v>1711</v>
      </c>
    </row>
    <row r="1089" spans="1:13" x14ac:dyDescent="0.25">
      <c r="A1089" s="1"/>
      <c r="B1089" s="1"/>
      <c r="C1089" s="1"/>
      <c r="D1089" s="1"/>
      <c r="E1089" s="1"/>
      <c r="F1089" s="1"/>
      <c r="G1089" s="1488" t="s">
        <v>2701</v>
      </c>
      <c r="H1089" s="1" t="str">
        <f>'BID IV'!B78</f>
        <v>Belanja Bahan/Material</v>
      </c>
      <c r="I1089" s="1"/>
      <c r="J1089" s="1"/>
      <c r="K1089" s="91">
        <f>SUM('BID IV'!F79:F81)</f>
        <v>65000</v>
      </c>
      <c r="L1089" s="1" t="s">
        <v>1711</v>
      </c>
    </row>
    <row r="1090" spans="1:13" x14ac:dyDescent="0.25">
      <c r="A1090" s="1"/>
      <c r="B1090" s="1"/>
      <c r="C1090" s="1"/>
      <c r="D1090" s="1">
        <v>5</v>
      </c>
      <c r="E1090" s="1">
        <v>2</v>
      </c>
      <c r="F1090" s="1">
        <v>2</v>
      </c>
      <c r="G1090" s="1"/>
      <c r="H1090" s="4" t="str">
        <f>'BID IV'!B83</f>
        <v>Belanja Jasa Honorarium</v>
      </c>
      <c r="I1090" s="1"/>
      <c r="J1090" s="1"/>
      <c r="K1090" s="91"/>
      <c r="L1090" s="1"/>
    </row>
    <row r="1091" spans="1:13" ht="45" x14ac:dyDescent="0.25">
      <c r="A1091" s="1"/>
      <c r="B1091" s="1"/>
      <c r="C1091" s="1"/>
      <c r="D1091" s="1"/>
      <c r="E1091" s="1"/>
      <c r="F1091" s="1"/>
      <c r="G1091" s="1488" t="s">
        <v>2679</v>
      </c>
      <c r="H1091" s="4" t="str">
        <f>'BID IV'!B84</f>
        <v>Belanja Jasa Honorarium Tim Yang Melaksanakan Kegiatan</v>
      </c>
      <c r="I1091" s="1"/>
      <c r="J1091" s="1"/>
      <c r="K1091" s="91">
        <f>SUM('BID IV'!F85:F87)</f>
        <v>1150000</v>
      </c>
      <c r="L1091" s="1" t="s">
        <v>1711</v>
      </c>
    </row>
    <row r="1092" spans="1:13" ht="30" x14ac:dyDescent="0.25">
      <c r="A1092" s="1"/>
      <c r="B1092" s="1"/>
      <c r="C1092" s="1"/>
      <c r="D1092" s="1"/>
      <c r="E1092" s="1"/>
      <c r="F1092" s="1"/>
      <c r="G1092" s="1488" t="s">
        <v>2697</v>
      </c>
      <c r="H1092" s="4" t="str">
        <f>'BID IV'!B89</f>
        <v>Honorarium Narasumber/ Instruktur</v>
      </c>
      <c r="I1092" s="1"/>
      <c r="J1092" s="1"/>
      <c r="K1092" s="91">
        <f>'BID IV'!F89</f>
        <v>600000</v>
      </c>
      <c r="L1092" s="1" t="s">
        <v>1711</v>
      </c>
    </row>
    <row r="1093" spans="1:13" ht="45" x14ac:dyDescent="0.25">
      <c r="A1093" s="1"/>
      <c r="B1093" s="1"/>
      <c r="C1093" s="1"/>
      <c r="D1093" s="1">
        <v>5</v>
      </c>
      <c r="E1093" s="1">
        <v>2</v>
      </c>
      <c r="F1093" s="1">
        <v>7</v>
      </c>
      <c r="G1093" s="1"/>
      <c r="H1093" s="4" t="str">
        <f>'BID IV'!B90</f>
        <v>Belanja Barang Perlengkapan diserahkan Kepada Masyarakat</v>
      </c>
      <c r="I1093" s="1"/>
      <c r="J1093" s="1"/>
      <c r="K1093" s="91"/>
      <c r="L1093" s="1"/>
    </row>
    <row r="1094" spans="1:13" ht="60" x14ac:dyDescent="0.25">
      <c r="A1094" s="1"/>
      <c r="B1094" s="1"/>
      <c r="C1094" s="1"/>
      <c r="D1094" s="1"/>
      <c r="E1094" s="1"/>
      <c r="F1094" s="1"/>
      <c r="G1094" s="1488" t="s">
        <v>2679</v>
      </c>
      <c r="H1094" s="4" t="str">
        <f>'BID IV'!B91</f>
        <v>Belanja Bahan Perlengkapan Yang Diserahkan Ke Masyarakat</v>
      </c>
      <c r="I1094" s="1"/>
      <c r="J1094" s="1"/>
      <c r="K1094" s="91">
        <f>SUM('BID IV'!F92:F99)</f>
        <v>26430000</v>
      </c>
      <c r="L1094" s="1" t="s">
        <v>1711</v>
      </c>
    </row>
    <row r="1095" spans="1:13" ht="60" x14ac:dyDescent="0.25">
      <c r="A1095" s="1027">
        <v>4</v>
      </c>
      <c r="B1095" s="1027">
        <v>3</v>
      </c>
      <c r="C1095" s="1491" t="s">
        <v>2694</v>
      </c>
      <c r="D1095" s="1027"/>
      <c r="E1095" s="1027"/>
      <c r="F1095" s="1027"/>
      <c r="G1095" s="1027"/>
      <c r="H1095" s="1028" t="str">
        <f>'BID IV'!B156</f>
        <v>: Pelatihan Tim Verifikasi dan penyusunan RKP ( Pelatihan Penysunan RKPDes)</v>
      </c>
      <c r="I1095" s="1027"/>
      <c r="J1095" s="1027"/>
      <c r="K1095" s="1492">
        <f>SUM(K1096:K1102)</f>
        <v>1220000</v>
      </c>
      <c r="L1095" s="1027"/>
      <c r="M1095" s="32">
        <f>'BID IV'!F177</f>
        <v>1220000</v>
      </c>
    </row>
    <row r="1096" spans="1:13" x14ac:dyDescent="0.25">
      <c r="A1096" s="1"/>
      <c r="B1096" s="1"/>
      <c r="C1096" s="1"/>
      <c r="D1096" s="1">
        <v>5</v>
      </c>
      <c r="E1096" s="1">
        <v>2</v>
      </c>
      <c r="F1096" s="1"/>
      <c r="G1096" s="1"/>
      <c r="H1096" s="4" t="str">
        <f>'BID IV'!B162</f>
        <v>Belanja Barang dan Jasa</v>
      </c>
      <c r="I1096" s="1"/>
      <c r="J1096" s="1"/>
      <c r="K1096" s="91"/>
      <c r="L1096" s="1"/>
    </row>
    <row r="1097" spans="1:13" ht="30" x14ac:dyDescent="0.25">
      <c r="A1097" s="1"/>
      <c r="B1097" s="1"/>
      <c r="C1097" s="1"/>
      <c r="D1097" s="1"/>
      <c r="E1097" s="1"/>
      <c r="F1097" s="1">
        <v>1</v>
      </c>
      <c r="G1097" s="1"/>
      <c r="H1097" s="4" t="str">
        <f>'BID IV'!B163</f>
        <v>Belanja Barang Perlengkapan</v>
      </c>
      <c r="I1097" s="1"/>
      <c r="J1097" s="1"/>
      <c r="K1097" s="91"/>
      <c r="L1097" s="1"/>
    </row>
    <row r="1098" spans="1:13" ht="30" x14ac:dyDescent="0.25">
      <c r="A1098" s="1"/>
      <c r="B1098" s="1"/>
      <c r="C1098" s="1"/>
      <c r="D1098" s="1"/>
      <c r="E1098" s="1"/>
      <c r="F1098" s="1"/>
      <c r="G1098" s="1488" t="s">
        <v>2700</v>
      </c>
      <c r="H1098" s="4" t="str">
        <f>'BID IV'!B164</f>
        <v>Belanja Perlengkapan Barang Konsumsi</v>
      </c>
      <c r="I1098" s="1"/>
      <c r="J1098" s="1"/>
      <c r="K1098" s="91">
        <f>SUM('BID IV'!F165)</f>
        <v>480000</v>
      </c>
      <c r="L1098" s="1" t="s">
        <v>1409</v>
      </c>
    </row>
    <row r="1099" spans="1:13" ht="30" x14ac:dyDescent="0.25">
      <c r="A1099" s="1"/>
      <c r="B1099" s="1"/>
      <c r="C1099" s="1"/>
      <c r="D1099" s="1"/>
      <c r="E1099" s="1"/>
      <c r="F1099" s="1"/>
      <c r="G1099" s="1488" t="s">
        <v>2702</v>
      </c>
      <c r="H1099" s="4" t="str">
        <f>'BID IV'!B167</f>
        <v>Belanja Bendera/ Umbul-umbul/ Spanduk</v>
      </c>
      <c r="I1099" s="1"/>
      <c r="J1099" s="1"/>
      <c r="K1099" s="91">
        <f>'BID IV'!F168</f>
        <v>90000</v>
      </c>
      <c r="L1099" s="1" t="s">
        <v>1409</v>
      </c>
    </row>
    <row r="1100" spans="1:13" ht="30" x14ac:dyDescent="0.25">
      <c r="A1100" s="1"/>
      <c r="B1100" s="1"/>
      <c r="C1100" s="1"/>
      <c r="D1100" s="1"/>
      <c r="E1100" s="1"/>
      <c r="F1100" s="1"/>
      <c r="G1100" s="1">
        <v>90</v>
      </c>
      <c r="H1100" s="4" t="str">
        <f>'BID IV'!B170</f>
        <v>Belanja Upakara, Upacara dan Aci</v>
      </c>
      <c r="I1100" s="1"/>
      <c r="J1100" s="1"/>
      <c r="K1100" s="91">
        <f>'BID IV'!F171</f>
        <v>50000</v>
      </c>
      <c r="L1100" s="1" t="s">
        <v>1409</v>
      </c>
    </row>
    <row r="1101" spans="1:13" x14ac:dyDescent="0.25">
      <c r="A1101" s="1"/>
      <c r="B1101" s="1"/>
      <c r="C1101" s="1"/>
      <c r="D1101" s="1">
        <v>5</v>
      </c>
      <c r="E1101" s="1">
        <v>2</v>
      </c>
      <c r="F1101" s="1">
        <v>2</v>
      </c>
      <c r="G1101" s="1"/>
      <c r="H1101" s="4" t="str">
        <f>'BID IV'!B173</f>
        <v>Belanja  Jasa Honorarium</v>
      </c>
      <c r="I1101" s="1"/>
      <c r="J1101" s="1"/>
      <c r="K1101" s="91"/>
      <c r="L1101" s="1"/>
    </row>
    <row r="1102" spans="1:13" ht="45" x14ac:dyDescent="0.25">
      <c r="A1102" s="1"/>
      <c r="B1102" s="1"/>
      <c r="C1102" s="1"/>
      <c r="D1102" s="1"/>
      <c r="E1102" s="1"/>
      <c r="F1102" s="1"/>
      <c r="G1102" s="1488" t="s">
        <v>2697</v>
      </c>
      <c r="H1102" s="4" t="str">
        <f>'BID IV'!B174</f>
        <v>Belanja Jasa Honorarium Ahli/Profesi/Konsultan/Narasumber</v>
      </c>
      <c r="I1102" s="1"/>
      <c r="J1102" s="1"/>
      <c r="K1102" s="91">
        <f>'BID IV'!F175</f>
        <v>600000</v>
      </c>
      <c r="L1102" s="1" t="s">
        <v>1409</v>
      </c>
    </row>
    <row r="1103" spans="1:13" ht="30" x14ac:dyDescent="0.25">
      <c r="A1103" s="1027">
        <v>4</v>
      </c>
      <c r="B1103" s="1027">
        <v>3</v>
      </c>
      <c r="C1103" s="1491" t="s">
        <v>2694</v>
      </c>
      <c r="D1103" s="1027"/>
      <c r="E1103" s="1027"/>
      <c r="F1103" s="1027"/>
      <c r="G1103" s="1027"/>
      <c r="H1103" s="1028" t="str">
        <f>'BID IV'!B193</f>
        <v>: Pelatihan Perangkat Desa</v>
      </c>
      <c r="I1103" s="1027"/>
      <c r="J1103" s="1027"/>
      <c r="K1103" s="1492">
        <f>SUM(K1104:K1111)</f>
        <v>85110000</v>
      </c>
      <c r="L1103" s="1027" t="s">
        <v>1845</v>
      </c>
      <c r="M1103" s="32">
        <f>'BID IV'!F216</f>
        <v>85110000</v>
      </c>
    </row>
    <row r="1104" spans="1:13" x14ac:dyDescent="0.25">
      <c r="A1104" s="1"/>
      <c r="B1104" s="1"/>
      <c r="C1104" s="1"/>
      <c r="D1104" s="1">
        <v>5</v>
      </c>
      <c r="E1104" s="1">
        <v>2</v>
      </c>
      <c r="F1104" s="1"/>
      <c r="G1104" s="1"/>
      <c r="H1104" s="4" t="str">
        <f>'BID IV'!B198</f>
        <v>Belanja Barang Dan Jasa</v>
      </c>
      <c r="I1104" s="1"/>
      <c r="J1104" s="1"/>
      <c r="K1104" s="91"/>
      <c r="L1104" s="1"/>
    </row>
    <row r="1105" spans="1:13" ht="30" x14ac:dyDescent="0.25">
      <c r="A1105" s="1"/>
      <c r="B1105" s="1"/>
      <c r="C1105" s="1"/>
      <c r="D1105" s="1"/>
      <c r="E1105" s="1"/>
      <c r="F1105" s="1">
        <v>1</v>
      </c>
      <c r="G1105" s="1"/>
      <c r="H1105" s="4" t="str">
        <f>'BID IV'!B199</f>
        <v>Belanja Barang Perlengkapan</v>
      </c>
      <c r="I1105" s="1"/>
      <c r="J1105" s="1"/>
      <c r="K1105" s="91"/>
      <c r="L1105" s="1"/>
    </row>
    <row r="1106" spans="1:13" ht="30" x14ac:dyDescent="0.25">
      <c r="A1106" s="1"/>
      <c r="B1106" s="1"/>
      <c r="C1106" s="1"/>
      <c r="D1106" s="1"/>
      <c r="E1106" s="1"/>
      <c r="F1106" s="1"/>
      <c r="G1106" s="1488" t="s">
        <v>2700</v>
      </c>
      <c r="H1106" s="4" t="str">
        <f>'BID IV'!B200</f>
        <v>Belanja Perlengkapan Barang Konsumsi</v>
      </c>
      <c r="I1106" s="1"/>
      <c r="J1106" s="1"/>
      <c r="K1106" s="91">
        <f>'BID IV'!F201</f>
        <v>420000</v>
      </c>
      <c r="L1106" s="1" t="s">
        <v>1845</v>
      </c>
    </row>
    <row r="1107" spans="1:13" ht="30" x14ac:dyDescent="0.25">
      <c r="A1107" s="1"/>
      <c r="B1107" s="1"/>
      <c r="C1107" s="1"/>
      <c r="D1107" s="1"/>
      <c r="E1107" s="1"/>
      <c r="F1107" s="1"/>
      <c r="G1107" s="1488" t="s">
        <v>2702</v>
      </c>
      <c r="H1107" s="4" t="str">
        <f>'BID IV'!B203</f>
        <v>Belanja Bendera/ Umbul-umbul/ Spanduk</v>
      </c>
      <c r="I1107" s="1"/>
      <c r="J1107" s="1"/>
      <c r="K1107" s="91">
        <f>'BID IV'!F204</f>
        <v>90000</v>
      </c>
      <c r="L1107" s="1" t="s">
        <v>1845</v>
      </c>
    </row>
    <row r="1108" spans="1:13" x14ac:dyDescent="0.25">
      <c r="A1108" s="1"/>
      <c r="B1108" s="1"/>
      <c r="C1108" s="1"/>
      <c r="D1108" s="1">
        <v>5</v>
      </c>
      <c r="E1108" s="1">
        <v>2</v>
      </c>
      <c r="F1108" s="1">
        <v>2</v>
      </c>
      <c r="G1108" s="1"/>
      <c r="H1108" s="4" t="str">
        <f>'BID IV'!B206</f>
        <v>Belanja Jasa Honorarium</v>
      </c>
      <c r="I1108" s="1"/>
      <c r="J1108" s="1"/>
      <c r="K1108" s="91"/>
      <c r="L1108" s="1"/>
    </row>
    <row r="1109" spans="1:13" ht="45" x14ac:dyDescent="0.25">
      <c r="A1109" s="1"/>
      <c r="B1109" s="1"/>
      <c r="C1109" s="1"/>
      <c r="D1109" s="1"/>
      <c r="E1109" s="1"/>
      <c r="F1109" s="1"/>
      <c r="G1109" s="1488" t="s">
        <v>2697</v>
      </c>
      <c r="H1109" s="4" t="str">
        <f>'BID IV'!B207</f>
        <v>Belanja Jasa Honorarium Ahli/Profesi/Konsultan/Narasumber</v>
      </c>
      <c r="I1109" s="1"/>
      <c r="J1109" s="1"/>
      <c r="K1109" s="91">
        <f>SUM('BID IV'!F208)</f>
        <v>600000</v>
      </c>
      <c r="L1109" s="1" t="s">
        <v>1845</v>
      </c>
    </row>
    <row r="1110" spans="1:13" x14ac:dyDescent="0.25">
      <c r="A1110" s="1"/>
      <c r="B1110" s="1"/>
      <c r="C1110" s="1"/>
      <c r="D1110" s="1">
        <v>5</v>
      </c>
      <c r="E1110" s="1">
        <v>2</v>
      </c>
      <c r="F1110" s="1">
        <v>4</v>
      </c>
      <c r="G1110" s="1"/>
      <c r="H1110" s="4" t="str">
        <f>'BID IV'!B210</f>
        <v>Belanja Jasa Sewa</v>
      </c>
      <c r="I1110" s="1"/>
      <c r="J1110" s="1"/>
      <c r="K1110" s="91"/>
      <c r="L1110" s="1"/>
    </row>
    <row r="1111" spans="1:13" ht="30" x14ac:dyDescent="0.25">
      <c r="A1111" s="1"/>
      <c r="B1111" s="1"/>
      <c r="C1111" s="1"/>
      <c r="D1111" s="1"/>
      <c r="E1111" s="1"/>
      <c r="F1111" s="1"/>
      <c r="G1111" s="1488" t="s">
        <v>2696</v>
      </c>
      <c r="H1111" s="4" t="str">
        <f>'BID IV'!B211</f>
        <v>Belanja Jasa Sewa Mobilitas</v>
      </c>
      <c r="I1111" s="1"/>
      <c r="J1111" s="1"/>
      <c r="K1111" s="91">
        <f>'BID IV'!F212</f>
        <v>84000000</v>
      </c>
      <c r="L1111" s="1" t="s">
        <v>1845</v>
      </c>
    </row>
    <row r="1112" spans="1:13" ht="30" x14ac:dyDescent="0.25">
      <c r="A1112" s="1027">
        <v>3</v>
      </c>
      <c r="B1112" s="1027">
        <v>2</v>
      </c>
      <c r="C1112" s="1491" t="s">
        <v>2697</v>
      </c>
      <c r="D1112" s="1027"/>
      <c r="E1112" s="1027"/>
      <c r="F1112" s="1027"/>
      <c r="G1112" s="1027"/>
      <c r="H1112" s="1028" t="str">
        <f>'BID IV'!B233</f>
        <v>: Peningkatan Kapasitas BPD</v>
      </c>
      <c r="I1112" s="1027"/>
      <c r="J1112" s="1027"/>
      <c r="K1112" s="1492">
        <f>SUM(K1113:K1121)</f>
        <v>37120000</v>
      </c>
      <c r="L1112" s="1027"/>
      <c r="M1112" s="32">
        <f>'BID IV'!F259</f>
        <v>37120000</v>
      </c>
    </row>
    <row r="1113" spans="1:13" x14ac:dyDescent="0.25">
      <c r="A1113" s="1"/>
      <c r="B1113" s="1"/>
      <c r="C1113" s="1"/>
      <c r="D1113" s="1">
        <v>5</v>
      </c>
      <c r="E1113" s="1">
        <v>2</v>
      </c>
      <c r="F1113" s="1"/>
      <c r="G1113" s="1"/>
      <c r="H1113" s="4" t="str">
        <f>'BID IV'!B238</f>
        <v>Belanja Barang dan Jasa</v>
      </c>
      <c r="I1113" s="1"/>
      <c r="J1113" s="1"/>
      <c r="K1113" s="91"/>
      <c r="L1113" s="1"/>
    </row>
    <row r="1114" spans="1:13" ht="30" x14ac:dyDescent="0.25">
      <c r="A1114" s="1"/>
      <c r="B1114" s="1"/>
      <c r="C1114" s="1"/>
      <c r="D1114" s="1"/>
      <c r="E1114" s="1"/>
      <c r="F1114" s="1">
        <v>1</v>
      </c>
      <c r="G1114" s="1"/>
      <c r="H1114" s="4" t="str">
        <f>'BID IV'!B239</f>
        <v>Belanja Barang Perlengkapan</v>
      </c>
      <c r="I1114" s="1"/>
      <c r="J1114" s="1"/>
      <c r="K1114" s="91"/>
      <c r="L1114" s="1"/>
    </row>
    <row r="1115" spans="1:13" ht="30" x14ac:dyDescent="0.25">
      <c r="A1115" s="1"/>
      <c r="B1115" s="1"/>
      <c r="C1115" s="1"/>
      <c r="D1115" s="1"/>
      <c r="E1115" s="1"/>
      <c r="F1115" s="1"/>
      <c r="G1115" s="1488" t="s">
        <v>2700</v>
      </c>
      <c r="H1115" s="4" t="str">
        <f>'BID IV'!B240</f>
        <v>Belanja Perlengkapan Barang Konsumsi</v>
      </c>
      <c r="I1115" s="1"/>
      <c r="J1115" s="1"/>
      <c r="K1115" s="91">
        <f>'BID IV'!F241</f>
        <v>300000</v>
      </c>
      <c r="L1115" s="1" t="s">
        <v>1845</v>
      </c>
    </row>
    <row r="1116" spans="1:13" ht="30" x14ac:dyDescent="0.25">
      <c r="A1116" s="1"/>
      <c r="B1116" s="1"/>
      <c r="C1116" s="1"/>
      <c r="D1116" s="1"/>
      <c r="E1116" s="1"/>
      <c r="F1116" s="1"/>
      <c r="G1116" s="1488" t="s">
        <v>2702</v>
      </c>
      <c r="H1116" s="4" t="str">
        <f>'BID IV'!B243</f>
        <v>Belanja Bendera/ Umbul-umbul/ Spanduk</v>
      </c>
      <c r="I1116" s="1"/>
      <c r="J1116" s="1"/>
      <c r="K1116" s="91">
        <f>'BID IV'!F244</f>
        <v>90000</v>
      </c>
      <c r="L1116" s="1" t="s">
        <v>1845</v>
      </c>
    </row>
    <row r="1117" spans="1:13" ht="30" x14ac:dyDescent="0.25">
      <c r="A1117" s="1"/>
      <c r="B1117" s="1"/>
      <c r="C1117" s="1"/>
      <c r="D1117" s="1"/>
      <c r="E1117" s="1"/>
      <c r="F1117" s="1"/>
      <c r="G1117" s="1">
        <v>90</v>
      </c>
      <c r="H1117" s="4" t="str">
        <f>'BID IV'!B246</f>
        <v>Belanja Upakara, Upacara dan Aci</v>
      </c>
      <c r="I1117" s="1"/>
      <c r="J1117" s="1"/>
      <c r="K1117" s="91">
        <f>'BID IV'!F247+'BID IV'!F248+'BID IV'!F249</f>
        <v>130000</v>
      </c>
      <c r="L1117" s="1" t="s">
        <v>1845</v>
      </c>
    </row>
    <row r="1118" spans="1:13" x14ac:dyDescent="0.25">
      <c r="A1118" s="1"/>
      <c r="B1118" s="1"/>
      <c r="C1118" s="1"/>
      <c r="D1118" s="1">
        <v>5</v>
      </c>
      <c r="E1118" s="1">
        <v>2</v>
      </c>
      <c r="F1118" s="1">
        <v>2</v>
      </c>
      <c r="G1118" s="1"/>
      <c r="H1118" s="4" t="str">
        <f>'BID IV'!B251</f>
        <v>Belanja  Jasa Honorarium</v>
      </c>
      <c r="I1118" s="1"/>
      <c r="J1118" s="1"/>
      <c r="K1118" s="91"/>
      <c r="L1118" s="1"/>
    </row>
    <row r="1119" spans="1:13" ht="45" x14ac:dyDescent="0.25">
      <c r="A1119" s="1"/>
      <c r="B1119" s="1"/>
      <c r="C1119" s="1"/>
      <c r="D1119" s="1"/>
      <c r="E1119" s="1"/>
      <c r="F1119" s="1"/>
      <c r="G1119" s="1488" t="s">
        <v>2697</v>
      </c>
      <c r="H1119" s="4" t="str">
        <f>'BID IV'!B252</f>
        <v>Belanja Jasa Honorarium Ahli/Profesi/Konsultan/Narasumber</v>
      </c>
      <c r="I1119" s="1"/>
      <c r="J1119" s="1"/>
      <c r="K1119" s="91">
        <f>'BID IV'!F253</f>
        <v>600000</v>
      </c>
      <c r="L1119" s="1" t="s">
        <v>1845</v>
      </c>
    </row>
    <row r="1120" spans="1:13" x14ac:dyDescent="0.25">
      <c r="A1120" s="1"/>
      <c r="B1120" s="1"/>
      <c r="C1120" s="1"/>
      <c r="D1120" s="1">
        <v>5</v>
      </c>
      <c r="E1120" s="1">
        <v>2</v>
      </c>
      <c r="F1120" s="1">
        <v>4</v>
      </c>
      <c r="G1120" s="1"/>
      <c r="H1120" s="4" t="str">
        <f>'BID IV'!B254</f>
        <v>Belanja Jasa Sewa</v>
      </c>
      <c r="I1120" s="1"/>
      <c r="J1120" s="1"/>
      <c r="K1120" s="91"/>
      <c r="L1120" s="1"/>
    </row>
    <row r="1121" spans="1:13" ht="30" x14ac:dyDescent="0.25">
      <c r="A1121" s="1"/>
      <c r="B1121" s="1"/>
      <c r="C1121" s="1"/>
      <c r="D1121" s="1"/>
      <c r="E1121" s="1"/>
      <c r="F1121" s="1"/>
      <c r="G1121" s="1488" t="s">
        <v>2696</v>
      </c>
      <c r="H1121" s="4" t="str">
        <f>'BID IV'!B255</f>
        <v>Belanja Jasa Sewa Mobiltas</v>
      </c>
      <c r="I1121" s="1"/>
      <c r="J1121" s="1"/>
      <c r="K1121" s="91">
        <f>'BID IV'!F256</f>
        <v>36000000</v>
      </c>
      <c r="L1121" s="1" t="s">
        <v>1845</v>
      </c>
    </row>
    <row r="1122" spans="1:13" ht="30" x14ac:dyDescent="0.25">
      <c r="A1122" s="1027">
        <v>4</v>
      </c>
      <c r="B1122" s="1027">
        <v>3</v>
      </c>
      <c r="C1122" s="1491" t="s">
        <v>2696</v>
      </c>
      <c r="D1122" s="1027"/>
      <c r="E1122" s="1027"/>
      <c r="F1122" s="1027"/>
      <c r="G1122" s="1027"/>
      <c r="H1122" s="1028" t="str">
        <f>'BID IV'!B273</f>
        <v>: Pelatihan PKPKD, PPKD dan TPK</v>
      </c>
      <c r="I1122" s="1027"/>
      <c r="J1122" s="1027"/>
      <c r="K1122" s="1492">
        <f>SUM(K1123:K1129)</f>
        <v>1655000</v>
      </c>
      <c r="L1122" s="1027"/>
      <c r="M1122" s="32">
        <f>'BID IV'!F296</f>
        <v>1655000</v>
      </c>
    </row>
    <row r="1123" spans="1:13" x14ac:dyDescent="0.25">
      <c r="A1123" s="1"/>
      <c r="B1123" s="1"/>
      <c r="C1123" s="1"/>
      <c r="D1123" s="1">
        <v>5</v>
      </c>
      <c r="E1123" s="1">
        <v>2</v>
      </c>
      <c r="F1123" s="1"/>
      <c r="G1123" s="1"/>
      <c r="H1123" s="4" t="str">
        <f>'BID IV'!B279</f>
        <v>Belanja Barang dan Jasa</v>
      </c>
      <c r="I1123" s="1"/>
      <c r="J1123" s="1"/>
      <c r="K1123" s="91"/>
      <c r="L1123" s="1"/>
    </row>
    <row r="1124" spans="1:13" ht="30" x14ac:dyDescent="0.25">
      <c r="A1124" s="1"/>
      <c r="B1124" s="1"/>
      <c r="C1124" s="1"/>
      <c r="D1124" s="1"/>
      <c r="E1124" s="1"/>
      <c r="F1124" s="1">
        <v>1</v>
      </c>
      <c r="G1124" s="1"/>
      <c r="H1124" s="4" t="str">
        <f>'BID IV'!B280</f>
        <v>Belanja Barang Perlengkapan</v>
      </c>
      <c r="I1124" s="1"/>
      <c r="J1124" s="1"/>
      <c r="K1124" s="91"/>
      <c r="L1124" s="1"/>
    </row>
    <row r="1125" spans="1:13" ht="30" x14ac:dyDescent="0.25">
      <c r="A1125" s="1"/>
      <c r="B1125" s="1"/>
      <c r="C1125" s="1"/>
      <c r="D1125" s="1"/>
      <c r="E1125" s="1"/>
      <c r="F1125" s="1"/>
      <c r="G1125" s="1488" t="s">
        <v>2700</v>
      </c>
      <c r="H1125" s="4" t="str">
        <f>'BID IV'!B281</f>
        <v>Belanja Perlengkapan Barang Konsumsi</v>
      </c>
      <c r="I1125" s="1"/>
      <c r="J1125" s="1"/>
      <c r="K1125" s="91">
        <f>'BID IV'!F282</f>
        <v>900000</v>
      </c>
      <c r="L1125" s="1" t="s">
        <v>1409</v>
      </c>
    </row>
    <row r="1126" spans="1:13" ht="30" x14ac:dyDescent="0.25">
      <c r="A1126" s="1"/>
      <c r="B1126" s="1"/>
      <c r="C1126" s="1"/>
      <c r="D1126" s="1"/>
      <c r="E1126" s="1"/>
      <c r="F1126" s="1"/>
      <c r="G1126" s="1488" t="s">
        <v>2702</v>
      </c>
      <c r="H1126" s="4" t="str">
        <f>'BID IV'!B284</f>
        <v>Belanja Bendera/ Umbul-umbul/ Spanduk</v>
      </c>
      <c r="I1126" s="1"/>
      <c r="J1126" s="1"/>
      <c r="K1126" s="91">
        <f>'BID IV'!F285</f>
        <v>90000</v>
      </c>
      <c r="L1126" s="1" t="s">
        <v>1409</v>
      </c>
    </row>
    <row r="1127" spans="1:13" ht="30" x14ac:dyDescent="0.25">
      <c r="A1127" s="1"/>
      <c r="B1127" s="1"/>
      <c r="C1127" s="1"/>
      <c r="D1127" s="1"/>
      <c r="E1127" s="1"/>
      <c r="F1127" s="1"/>
      <c r="G1127" s="1">
        <v>90</v>
      </c>
      <c r="H1127" s="4" t="str">
        <f>'BID IV'!B287</f>
        <v>Belanja Upakara, Upacara dan Aci</v>
      </c>
      <c r="I1127" s="1"/>
      <c r="J1127" s="1"/>
      <c r="K1127" s="91">
        <f>SUM('BID IV'!F288:F290)</f>
        <v>65000</v>
      </c>
      <c r="L1127" s="1" t="s">
        <v>1409</v>
      </c>
    </row>
    <row r="1128" spans="1:13" x14ac:dyDescent="0.25">
      <c r="A1128" s="1"/>
      <c r="B1128" s="1"/>
      <c r="C1128" s="1"/>
      <c r="D1128" s="1">
        <v>5</v>
      </c>
      <c r="E1128" s="1">
        <v>2</v>
      </c>
      <c r="F1128" s="1">
        <v>2</v>
      </c>
      <c r="G1128" s="1"/>
      <c r="H1128" s="4" t="str">
        <f>'BID IV'!B292</f>
        <v>Belanja  Jasa Honorarium</v>
      </c>
      <c r="I1128" s="1"/>
      <c r="J1128" s="1"/>
      <c r="K1128" s="91"/>
      <c r="L1128" s="1"/>
    </row>
    <row r="1129" spans="1:13" ht="45" x14ac:dyDescent="0.25">
      <c r="A1129" s="1"/>
      <c r="B1129" s="1"/>
      <c r="C1129" s="1"/>
      <c r="D1129" s="1"/>
      <c r="E1129" s="1"/>
      <c r="F1129" s="1"/>
      <c r="G1129" s="1488" t="s">
        <v>2697</v>
      </c>
      <c r="H1129" s="4" t="str">
        <f>'BID IV'!B293</f>
        <v>Belanja Jasa Honorarium Ahli/Profesi/Konsultan/Narasumber</v>
      </c>
      <c r="I1129" s="1"/>
      <c r="J1129" s="1"/>
      <c r="K1129" s="91">
        <f>'BID IV'!F294</f>
        <v>600000</v>
      </c>
      <c r="L1129" s="1" t="s">
        <v>1409</v>
      </c>
    </row>
    <row r="1130" spans="1:13" ht="30" x14ac:dyDescent="0.25">
      <c r="A1130" s="1027">
        <v>4</v>
      </c>
      <c r="B1130" s="1027">
        <v>3</v>
      </c>
      <c r="C1130" s="1491" t="s">
        <v>2694</v>
      </c>
      <c r="D1130" s="1027"/>
      <c r="E1130" s="1027"/>
      <c r="F1130" s="1027"/>
      <c r="G1130" s="1027"/>
      <c r="H1130" s="1028" t="str">
        <f>'BID IV'!B311</f>
        <v xml:space="preserve">: Pembinaan Kelompok P2WKSS  </v>
      </c>
      <c r="I1130" s="1027"/>
      <c r="J1130" s="1027"/>
      <c r="K1130" s="1492">
        <f>SUM(K1131:K1136)</f>
        <v>1290000</v>
      </c>
      <c r="L1130" s="1027"/>
      <c r="M1130" s="36">
        <f>'BID IV'!F327</f>
        <v>1290000</v>
      </c>
    </row>
    <row r="1131" spans="1:13" x14ac:dyDescent="0.25">
      <c r="A1131" s="1"/>
      <c r="B1131" s="1"/>
      <c r="C1131" s="1"/>
      <c r="D1131" s="1">
        <v>5</v>
      </c>
      <c r="E1131" s="1">
        <v>2</v>
      </c>
      <c r="F1131" s="1"/>
      <c r="G1131" s="1"/>
      <c r="H1131" s="4" t="str">
        <f>'BID IV'!B316</f>
        <v>Belanja Barang Jasa</v>
      </c>
      <c r="I1131" s="1"/>
      <c r="J1131" s="1"/>
      <c r="K1131" s="91"/>
      <c r="L1131" s="1"/>
    </row>
    <row r="1132" spans="1:13" ht="30" x14ac:dyDescent="0.25">
      <c r="A1132" s="1"/>
      <c r="B1132" s="1"/>
      <c r="C1132" s="1"/>
      <c r="D1132" s="1"/>
      <c r="E1132" s="1"/>
      <c r="F1132" s="1">
        <v>1</v>
      </c>
      <c r="G1132" s="1"/>
      <c r="H1132" s="4" t="str">
        <f>'BID IV'!B317</f>
        <v>Belanja Barang Perlengkapan</v>
      </c>
      <c r="I1132" s="1"/>
      <c r="J1132" s="1"/>
      <c r="K1132" s="91"/>
      <c r="L1132" s="1"/>
    </row>
    <row r="1133" spans="1:13" ht="30" x14ac:dyDescent="0.25">
      <c r="A1133" s="1"/>
      <c r="B1133" s="1"/>
      <c r="C1133" s="1"/>
      <c r="D1133" s="1"/>
      <c r="E1133" s="1"/>
      <c r="F1133" s="1"/>
      <c r="G1133" s="1488" t="s">
        <v>2679</v>
      </c>
      <c r="H1133" s="4" t="str">
        <f>'BID IV'!B318</f>
        <v>Belanja Perlengkapan Barang Konsumsi</v>
      </c>
      <c r="I1133" s="1"/>
      <c r="J1133" s="1"/>
      <c r="K1133" s="91">
        <f>'BID IV'!F319</f>
        <v>600000</v>
      </c>
      <c r="L1133" s="1" t="s">
        <v>1409</v>
      </c>
    </row>
    <row r="1134" spans="1:13" ht="30" x14ac:dyDescent="0.25">
      <c r="A1134" s="1"/>
      <c r="B1134" s="1"/>
      <c r="C1134" s="1"/>
      <c r="D1134" s="1"/>
      <c r="E1134" s="1"/>
      <c r="F1134" s="1"/>
      <c r="G1134" s="1488" t="s">
        <v>2702</v>
      </c>
      <c r="H1134" s="4" t="str">
        <f>'BID IV'!B321</f>
        <v>Belanja Bendera/ Umbul-umbul/ Spanduk</v>
      </c>
      <c r="I1134" s="1"/>
      <c r="J1134" s="1"/>
      <c r="K1134" s="91">
        <f>'BID IV'!F322</f>
        <v>90000</v>
      </c>
      <c r="L1134" s="1" t="s">
        <v>1409</v>
      </c>
    </row>
    <row r="1135" spans="1:13" x14ac:dyDescent="0.25">
      <c r="A1135" s="1"/>
      <c r="B1135" s="1"/>
      <c r="C1135" s="1"/>
      <c r="D1135" s="1">
        <v>5</v>
      </c>
      <c r="E1135" s="1">
        <v>2</v>
      </c>
      <c r="F1135" s="1">
        <v>2</v>
      </c>
      <c r="G1135" s="1"/>
      <c r="H1135" s="4" t="str">
        <f>'BID IV'!B323</f>
        <v>Belanja Jasa Honorarium</v>
      </c>
      <c r="I1135" s="1"/>
      <c r="J1135" s="1"/>
      <c r="K1135" s="91"/>
      <c r="L1135" s="1"/>
    </row>
    <row r="1136" spans="1:13" ht="60" x14ac:dyDescent="0.25">
      <c r="A1136" s="1"/>
      <c r="B1136" s="1"/>
      <c r="C1136" s="1"/>
      <c r="D1136" s="1"/>
      <c r="E1136" s="1"/>
      <c r="F1136" s="1"/>
      <c r="G1136" s="1488" t="s">
        <v>2697</v>
      </c>
      <c r="H1136" s="4" t="str">
        <f>'BID IV'!B324</f>
        <v>Belanja Jasa Honorarium Ahli/ Profesi/Konsultan/Narasumber</v>
      </c>
      <c r="I1136" s="1"/>
      <c r="J1136" s="1"/>
      <c r="K1136" s="91">
        <f>'BID IV'!F325</f>
        <v>600000</v>
      </c>
      <c r="L1136" s="1" t="s">
        <v>1409</v>
      </c>
    </row>
    <row r="1137" spans="1:13" ht="90" x14ac:dyDescent="0.25">
      <c r="A1137" s="1027">
        <v>4</v>
      </c>
      <c r="B1137" s="1027">
        <v>4</v>
      </c>
      <c r="C1137" s="1491" t="s">
        <v>2679</v>
      </c>
      <c r="D1137" s="1027"/>
      <c r="E1137" s="1027"/>
      <c r="F1137" s="1027"/>
      <c r="G1137" s="1027"/>
      <c r="H1137" s="1028" t="str">
        <f>'BID IV'!B340</f>
        <v xml:space="preserve">: Pelatihan Pemberdayaan Perempuan ( Pelatihan Membuat Kroket Kentang dan Sushi untuk PKK Desa ) </v>
      </c>
      <c r="I1137" s="1027"/>
      <c r="J1137" s="1027"/>
      <c r="K1137" s="1492">
        <f>SUM(K1138:K1147)</f>
        <v>5874900</v>
      </c>
      <c r="L1137" s="1027"/>
      <c r="M1137" s="32">
        <f>'BID IV'!F395</f>
        <v>5874900</v>
      </c>
    </row>
    <row r="1138" spans="1:13" x14ac:dyDescent="0.25">
      <c r="A1138" s="1"/>
      <c r="B1138" s="1"/>
      <c r="C1138" s="1"/>
      <c r="D1138" s="1">
        <v>5</v>
      </c>
      <c r="E1138" s="1">
        <v>2</v>
      </c>
      <c r="F1138" s="1"/>
      <c r="G1138" s="1"/>
      <c r="H1138" s="4" t="str">
        <f>'BID IV'!B345</f>
        <v>Belanja Barang dan Jasa</v>
      </c>
      <c r="I1138" s="1"/>
      <c r="J1138" s="1"/>
      <c r="K1138" s="91"/>
      <c r="L1138" s="1"/>
    </row>
    <row r="1139" spans="1:13" ht="30" x14ac:dyDescent="0.25">
      <c r="A1139" s="1"/>
      <c r="B1139" s="1"/>
      <c r="C1139" s="1"/>
      <c r="D1139" s="1"/>
      <c r="E1139" s="1"/>
      <c r="F1139" s="1">
        <v>1</v>
      </c>
      <c r="G1139" s="1"/>
      <c r="H1139" s="4" t="str">
        <f>'BID IV'!B346</f>
        <v>Belanaja Barang Pelengkapan</v>
      </c>
      <c r="I1139" s="1"/>
      <c r="J1139" s="1"/>
      <c r="K1139" s="91"/>
      <c r="L1139" s="1"/>
    </row>
    <row r="1140" spans="1:13" ht="30" x14ac:dyDescent="0.25">
      <c r="A1140" s="1"/>
      <c r="B1140" s="1"/>
      <c r="C1140" s="1"/>
      <c r="D1140" s="1"/>
      <c r="E1140" s="1"/>
      <c r="F1140" s="1"/>
      <c r="G1140" s="1488" t="s">
        <v>2700</v>
      </c>
      <c r="H1140" s="4" t="str">
        <f>'BID IV'!B347</f>
        <v>Belanja Perlengkapan Barang Konsumsi</v>
      </c>
      <c r="I1140" s="1"/>
      <c r="J1140" s="1"/>
      <c r="K1140" s="91">
        <f>SUM('BID IV'!F348)</f>
        <v>600000</v>
      </c>
      <c r="L1140" s="1" t="s">
        <v>1409</v>
      </c>
    </row>
    <row r="1141" spans="1:13" ht="30" x14ac:dyDescent="0.25">
      <c r="A1141" s="1"/>
      <c r="B1141" s="1"/>
      <c r="C1141" s="1"/>
      <c r="D1141" s="1"/>
      <c r="E1141" s="1"/>
      <c r="F1141" s="1"/>
      <c r="G1141" s="1488" t="s">
        <v>2702</v>
      </c>
      <c r="H1141" s="4" t="str">
        <f>'BID IV'!B349</f>
        <v>Belanja Umbul-umbul/ Spanduk</v>
      </c>
      <c r="I1141" s="1"/>
      <c r="J1141" s="1"/>
      <c r="K1141" s="91">
        <f>'BID IV'!F350</f>
        <v>90000</v>
      </c>
      <c r="L1141" s="1" t="s">
        <v>1409</v>
      </c>
    </row>
    <row r="1142" spans="1:13" x14ac:dyDescent="0.25">
      <c r="A1142" s="1"/>
      <c r="B1142" s="1"/>
      <c r="C1142" s="1"/>
      <c r="D1142" s="1"/>
      <c r="E1142" s="1"/>
      <c r="F1142" s="1"/>
      <c r="G1142" s="1">
        <v>90</v>
      </c>
      <c r="H1142" s="4" t="str">
        <f>'BID IV'!B351</f>
        <v>Belanja upakara aci</v>
      </c>
      <c r="I1142" s="1"/>
      <c r="J1142" s="1"/>
      <c r="K1142" s="91">
        <f>'BID IV'!F352</f>
        <v>50000</v>
      </c>
      <c r="L1142" s="1" t="s">
        <v>1409</v>
      </c>
    </row>
    <row r="1143" spans="1:13" x14ac:dyDescent="0.25">
      <c r="A1143" s="1"/>
      <c r="B1143" s="1"/>
      <c r="C1143" s="1"/>
      <c r="D1143" s="1">
        <v>5</v>
      </c>
      <c r="E1143" s="1">
        <v>2</v>
      </c>
      <c r="F1143" s="1">
        <v>2</v>
      </c>
      <c r="G1143" s="1"/>
      <c r="H1143" s="4" t="str">
        <f>'BID IV'!B353</f>
        <v>Belanja Jasa Honorarium</v>
      </c>
      <c r="I1143" s="1"/>
      <c r="J1143" s="1"/>
      <c r="K1143" s="91"/>
      <c r="L1143" s="1"/>
    </row>
    <row r="1144" spans="1:13" ht="45" x14ac:dyDescent="0.25">
      <c r="A1144" s="1"/>
      <c r="B1144" s="1"/>
      <c r="C1144" s="1"/>
      <c r="D1144" s="1"/>
      <c r="E1144" s="1"/>
      <c r="F1144" s="1"/>
      <c r="G1144" s="1488" t="s">
        <v>2679</v>
      </c>
      <c r="H1144" s="4" t="str">
        <f>'BID IV'!B354</f>
        <v>Belanja Jasa Honorarium Tim Yang Melaksanakan Kegiatan</v>
      </c>
      <c r="I1144" s="1"/>
      <c r="J1144" s="1"/>
      <c r="K1144" s="91">
        <f>SUM('BID IV'!F355:F357)</f>
        <v>750000</v>
      </c>
      <c r="L1144" s="1" t="s">
        <v>1409</v>
      </c>
    </row>
    <row r="1145" spans="1:13" ht="45" x14ac:dyDescent="0.25">
      <c r="A1145" s="1"/>
      <c r="B1145" s="1"/>
      <c r="C1145" s="1"/>
      <c r="D1145" s="1"/>
      <c r="E1145" s="1"/>
      <c r="F1145" s="1"/>
      <c r="G1145" s="1488" t="s">
        <v>2697</v>
      </c>
      <c r="H1145" s="4" t="str">
        <f>'BID IV'!B358</f>
        <v>Belanja Jasa Honorarium Ahli/ Profesi/Konsultan/ Narasumber</v>
      </c>
      <c r="I1145" s="1"/>
      <c r="J1145" s="1"/>
      <c r="K1145" s="91">
        <f>'BID IV'!F359</f>
        <v>600000</v>
      </c>
      <c r="L1145" s="1" t="s">
        <v>1409</v>
      </c>
    </row>
    <row r="1146" spans="1:13" ht="45" x14ac:dyDescent="0.25">
      <c r="A1146" s="1"/>
      <c r="B1146" s="1"/>
      <c r="C1146" s="1"/>
      <c r="D1146" s="1">
        <v>5</v>
      </c>
      <c r="E1146" s="1">
        <v>2</v>
      </c>
      <c r="F1146" s="1">
        <v>7</v>
      </c>
      <c r="G1146" s="1"/>
      <c r="H1146" s="4" t="str">
        <f>'BID IV'!B360</f>
        <v>Belanja Barang dan Jasa yang diserahkan Kepada Masyarakat</v>
      </c>
      <c r="I1146" s="1"/>
      <c r="J1146" s="1"/>
      <c r="K1146" s="91"/>
      <c r="L1146" s="1"/>
    </row>
    <row r="1147" spans="1:13" ht="30" x14ac:dyDescent="0.25">
      <c r="A1147" s="1"/>
      <c r="B1147" s="1"/>
      <c r="C1147" s="1"/>
      <c r="D1147" s="1"/>
      <c r="E1147" s="1"/>
      <c r="F1147" s="1"/>
      <c r="G1147" s="1488" t="s">
        <v>2679</v>
      </c>
      <c r="H1147" s="4" t="str">
        <f>'BID IV'!B361</f>
        <v xml:space="preserve">Belanja Bahan Perlengkapan </v>
      </c>
      <c r="I1147" s="1"/>
      <c r="J1147" s="1"/>
      <c r="K1147" s="91">
        <f>SUM('BID IV'!F363:F393)</f>
        <v>3784900</v>
      </c>
      <c r="L1147" s="1" t="s">
        <v>1409</v>
      </c>
    </row>
    <row r="1148" spans="1:13" ht="105" x14ac:dyDescent="0.25">
      <c r="A1148" s="1027">
        <v>4</v>
      </c>
      <c r="B1148" s="1027">
        <v>4</v>
      </c>
      <c r="C1148" s="1491" t="s">
        <v>2679</v>
      </c>
      <c r="D1148" s="1027"/>
      <c r="E1148" s="1027"/>
      <c r="F1148" s="1027"/>
      <c r="G1148" s="1027"/>
      <c r="H1148" s="1028" t="str">
        <f>'BID IV'!B408</f>
        <v xml:space="preserve">: Pelatihan/ Penyuluhan Pemberdayaan Perempuan        ( Pelatihan Membuat Banten Tumpeng Solas dan Banten Caru untuk PKK Desa ) </v>
      </c>
      <c r="I1148" s="1027"/>
      <c r="J1148" s="1027"/>
      <c r="K1148" s="1492">
        <f>SUM(K1149:K1158)</f>
        <v>4181000</v>
      </c>
      <c r="L1148" s="1027"/>
      <c r="M1148" s="172">
        <f>'BID IV'!F458</f>
        <v>4181000</v>
      </c>
    </row>
    <row r="1149" spans="1:13" x14ac:dyDescent="0.25">
      <c r="A1149" s="1"/>
      <c r="B1149" s="1"/>
      <c r="C1149" s="1"/>
      <c r="D1149" s="1">
        <v>5</v>
      </c>
      <c r="E1149" s="1">
        <v>2</v>
      </c>
      <c r="F1149" s="1"/>
      <c r="G1149" s="1"/>
      <c r="H1149" s="4" t="str">
        <f>'BID IV'!B413</f>
        <v>Belanja Barang dan Jasa</v>
      </c>
      <c r="I1149" s="1"/>
      <c r="J1149" s="1"/>
      <c r="K1149" s="91"/>
      <c r="L1149" s="1"/>
    </row>
    <row r="1150" spans="1:13" ht="30" x14ac:dyDescent="0.25">
      <c r="A1150" s="1"/>
      <c r="B1150" s="1"/>
      <c r="C1150" s="1"/>
      <c r="D1150" s="1"/>
      <c r="E1150" s="1"/>
      <c r="F1150" s="1">
        <v>1</v>
      </c>
      <c r="G1150" s="1"/>
      <c r="H1150" s="4" t="str">
        <f>'BID IV'!B414</f>
        <v>Belanaja Barang Pelengkapan</v>
      </c>
      <c r="I1150" s="1"/>
      <c r="J1150" s="1"/>
      <c r="K1150" s="91"/>
      <c r="L1150" s="1"/>
    </row>
    <row r="1151" spans="1:13" ht="30" x14ac:dyDescent="0.25">
      <c r="A1151" s="1"/>
      <c r="B1151" s="1"/>
      <c r="C1151" s="1"/>
      <c r="D1151" s="1"/>
      <c r="E1151" s="1"/>
      <c r="F1151" s="1"/>
      <c r="G1151" s="1488" t="s">
        <v>2700</v>
      </c>
      <c r="H1151" s="4" t="str">
        <f>'BID IV'!B415</f>
        <v>Belanja Perlengkapan Barang Konsumsi</v>
      </c>
      <c r="I1151" s="1"/>
      <c r="J1151" s="1"/>
      <c r="K1151" s="91">
        <f>'BID IV'!F416</f>
        <v>600000</v>
      </c>
      <c r="L1151" s="1" t="s">
        <v>1711</v>
      </c>
    </row>
    <row r="1152" spans="1:13" ht="30" x14ac:dyDescent="0.25">
      <c r="A1152" s="1"/>
      <c r="B1152" s="1"/>
      <c r="C1152" s="1"/>
      <c r="D1152" s="1"/>
      <c r="E1152" s="1"/>
      <c r="F1152" s="1"/>
      <c r="G1152" s="1488" t="s">
        <v>2702</v>
      </c>
      <c r="H1152" s="4" t="str">
        <f>'BID IV'!B417</f>
        <v>Belanja Bendera/ Umbul-umbul/ Spanduk</v>
      </c>
      <c r="I1152" s="1"/>
      <c r="J1152" s="1"/>
      <c r="K1152" s="91">
        <f>'BID IV'!F418</f>
        <v>90000</v>
      </c>
      <c r="L1152" s="1" t="s">
        <v>1711</v>
      </c>
    </row>
    <row r="1153" spans="1:13" x14ac:dyDescent="0.25">
      <c r="A1153" s="1"/>
      <c r="B1153" s="1"/>
      <c r="C1153" s="1"/>
      <c r="D1153" s="1"/>
      <c r="E1153" s="1"/>
      <c r="F1153" s="1"/>
      <c r="G1153" s="1">
        <v>90</v>
      </c>
      <c r="H1153" s="1" t="str">
        <f>'BID IV'!B419</f>
        <v>Belanja upakara aci</v>
      </c>
      <c r="I1153" s="1"/>
      <c r="J1153" s="1"/>
      <c r="K1153" s="91">
        <f>SUM('BID IV'!F420:F422)</f>
        <v>65000</v>
      </c>
      <c r="L1153" s="1" t="s">
        <v>1711</v>
      </c>
    </row>
    <row r="1154" spans="1:13" x14ac:dyDescent="0.25">
      <c r="A1154" s="1"/>
      <c r="B1154" s="1"/>
      <c r="C1154" s="1"/>
      <c r="D1154" s="1">
        <v>5</v>
      </c>
      <c r="E1154" s="1">
        <v>2</v>
      </c>
      <c r="F1154" s="1">
        <v>2</v>
      </c>
      <c r="G1154" s="1"/>
      <c r="H1154" s="4" t="str">
        <f>'BID IV'!B423</f>
        <v>Belanja Jasa Honorarium</v>
      </c>
      <c r="I1154" s="1"/>
      <c r="J1154" s="1"/>
      <c r="K1154" s="91"/>
      <c r="L1154" s="1"/>
    </row>
    <row r="1155" spans="1:13" ht="45" x14ac:dyDescent="0.25">
      <c r="A1155" s="1"/>
      <c r="B1155" s="1"/>
      <c r="C1155" s="1"/>
      <c r="D1155" s="1"/>
      <c r="E1155" s="1"/>
      <c r="F1155" s="1"/>
      <c r="G1155" s="1488" t="s">
        <v>2679</v>
      </c>
      <c r="H1155" s="4" t="str">
        <f>'BID IV'!B424</f>
        <v>Belanja Jasa Honorarium Tim Yang Melaksanakan Kegiatan</v>
      </c>
      <c r="I1155" s="1"/>
      <c r="J1155" s="1"/>
      <c r="K1155" s="91">
        <f>SUM('BID IV'!F425:F427)</f>
        <v>750000</v>
      </c>
      <c r="L1155" s="1" t="s">
        <v>1711</v>
      </c>
    </row>
    <row r="1156" spans="1:13" ht="45" x14ac:dyDescent="0.25">
      <c r="A1156" s="1"/>
      <c r="B1156" s="1"/>
      <c r="C1156" s="1"/>
      <c r="D1156" s="1"/>
      <c r="E1156" s="1"/>
      <c r="F1156" s="1"/>
      <c r="G1156" s="1488" t="s">
        <v>2697</v>
      </c>
      <c r="H1156" s="4" t="str">
        <f>'BID IV'!B428</f>
        <v>Belanja Jasa Honorarium Ahli/ Profesi/Konsultan/ Narasumber</v>
      </c>
      <c r="I1156" s="1"/>
      <c r="J1156" s="1"/>
      <c r="K1156" s="91">
        <f>'BID IV'!F429</f>
        <v>600000</v>
      </c>
      <c r="L1156" s="1" t="s">
        <v>1711</v>
      </c>
    </row>
    <row r="1157" spans="1:13" ht="45" x14ac:dyDescent="0.25">
      <c r="A1157" s="1"/>
      <c r="B1157" s="1"/>
      <c r="C1157" s="1"/>
      <c r="D1157" s="1">
        <v>5</v>
      </c>
      <c r="E1157" s="1">
        <v>2</v>
      </c>
      <c r="F1157" s="1">
        <v>7</v>
      </c>
      <c r="G1157" s="1"/>
      <c r="H1157" s="4" t="str">
        <f>'BID IV'!B430</f>
        <v>Belanja Barang dan Jasa yang diserahkan Kepada Masyarakat</v>
      </c>
      <c r="I1157" s="1"/>
      <c r="J1157" s="1"/>
      <c r="K1157" s="91"/>
      <c r="L1157" s="1"/>
    </row>
    <row r="1158" spans="1:13" ht="30" x14ac:dyDescent="0.25">
      <c r="A1158" s="1"/>
      <c r="B1158" s="1"/>
      <c r="C1158" s="1"/>
      <c r="D1158" s="1"/>
      <c r="E1158" s="1"/>
      <c r="F1158" s="1"/>
      <c r="G1158" s="1488" t="s">
        <v>2679</v>
      </c>
      <c r="H1158" s="4" t="str">
        <f>'BID IV'!B431</f>
        <v xml:space="preserve">Belanja Bahan Perlengkapan </v>
      </c>
      <c r="I1158" s="1"/>
      <c r="J1158" s="1"/>
      <c r="K1158" s="91">
        <f>SUM('BID IV'!F433:F456)</f>
        <v>2076000</v>
      </c>
      <c r="L1158" s="1" t="s">
        <v>1711</v>
      </c>
    </row>
    <row r="1159" spans="1:13" ht="60" x14ac:dyDescent="0.25">
      <c r="A1159" s="1027">
        <v>4</v>
      </c>
      <c r="B1159" s="1027">
        <v>4</v>
      </c>
      <c r="C1159" s="1491" t="s">
        <v>2694</v>
      </c>
      <c r="D1159" s="1027"/>
      <c r="E1159" s="1027"/>
      <c r="F1159" s="1027"/>
      <c r="G1159" s="1027"/>
      <c r="H1159" s="1028" t="str">
        <f>'BID IV'!B471</f>
        <v>: Pelatihan/Penyuluhan Perlindungan Anak (Pembinaan Forum Anak Desa)</v>
      </c>
      <c r="I1159" s="1027"/>
      <c r="J1159" s="1027"/>
      <c r="K1159" s="1492">
        <f>SUM(K1160:K1170)</f>
        <v>23025400</v>
      </c>
      <c r="L1159" s="1027"/>
      <c r="M1159" s="32">
        <f>'BID IV'!F502</f>
        <v>23025400</v>
      </c>
    </row>
    <row r="1160" spans="1:13" x14ac:dyDescent="0.25">
      <c r="A1160" s="1"/>
      <c r="B1160" s="1"/>
      <c r="C1160" s="1"/>
      <c r="D1160" s="1">
        <v>5</v>
      </c>
      <c r="E1160" s="1">
        <v>2</v>
      </c>
      <c r="F1160" s="1"/>
      <c r="G1160" s="1"/>
      <c r="H1160" s="4" t="str">
        <f>'BID IV'!B477</f>
        <v>Belanja Barang Dan Jasa</v>
      </c>
      <c r="I1160" s="1"/>
      <c r="J1160" s="1"/>
      <c r="K1160" s="91"/>
      <c r="L1160" s="1"/>
      <c r="M1160" s="32">
        <f>K1159-M1159</f>
        <v>0</v>
      </c>
    </row>
    <row r="1161" spans="1:13" ht="30" x14ac:dyDescent="0.25">
      <c r="A1161" s="1"/>
      <c r="B1161" s="1"/>
      <c r="C1161" s="1"/>
      <c r="D1161" s="1"/>
      <c r="E1161" s="1"/>
      <c r="F1161" s="1">
        <v>1</v>
      </c>
      <c r="G1161" s="1"/>
      <c r="H1161" s="4" t="str">
        <f>'BID IV'!B478</f>
        <v>Belanja Barang Perlengkapan</v>
      </c>
      <c r="I1161" s="1"/>
      <c r="J1161" s="1"/>
      <c r="K1161" s="91"/>
      <c r="L1161" s="1"/>
    </row>
    <row r="1162" spans="1:13" x14ac:dyDescent="0.25">
      <c r="A1162" s="1"/>
      <c r="B1162" s="1"/>
      <c r="C1162" s="1"/>
      <c r="D1162" s="1"/>
      <c r="E1162" s="1"/>
      <c r="F1162" s="1"/>
      <c r="G1162" s="1488" t="s">
        <v>2679</v>
      </c>
      <c r="H1162" s="4" t="str">
        <f>'BID IV'!B479</f>
        <v>Belanja Alat Tulis</v>
      </c>
      <c r="I1162" s="1"/>
      <c r="J1162" s="1"/>
      <c r="K1162" s="91">
        <f>SUM('BID IV'!F480:F485)</f>
        <v>295400</v>
      </c>
      <c r="L1162" s="1" t="s">
        <v>1409</v>
      </c>
    </row>
    <row r="1163" spans="1:13" ht="30" x14ac:dyDescent="0.25">
      <c r="A1163" s="1"/>
      <c r="B1163" s="1"/>
      <c r="C1163" s="1"/>
      <c r="D1163" s="1"/>
      <c r="E1163" s="1"/>
      <c r="F1163" s="1"/>
      <c r="G1163" s="1488" t="s">
        <v>2700</v>
      </c>
      <c r="H1163" s="4" t="str">
        <f>'BID IV'!B486</f>
        <v>Belanja Perlengkapan Barang Konsumsi</v>
      </c>
      <c r="I1163" s="1"/>
      <c r="J1163" s="1"/>
      <c r="K1163" s="91">
        <f>SUM('BID IV'!F487)</f>
        <v>225000</v>
      </c>
      <c r="L1163" s="1" t="s">
        <v>1409</v>
      </c>
    </row>
    <row r="1164" spans="1:13" ht="30" x14ac:dyDescent="0.25">
      <c r="A1164" s="1"/>
      <c r="B1164" s="1"/>
      <c r="C1164" s="1"/>
      <c r="D1164" s="1"/>
      <c r="E1164" s="1"/>
      <c r="F1164" s="1"/>
      <c r="G1164" s="1488" t="s">
        <v>2702</v>
      </c>
      <c r="H1164" s="4" t="str">
        <f>'BID IV'!B488</f>
        <v>Belanja Bendera/ Umbul-umbul/ Spanduk</v>
      </c>
      <c r="I1164" s="1"/>
      <c r="J1164" s="1"/>
      <c r="K1164" s="91">
        <f>'BID IV'!F489</f>
        <v>90000</v>
      </c>
      <c r="L1164" s="1" t="s">
        <v>1409</v>
      </c>
    </row>
    <row r="1165" spans="1:13" x14ac:dyDescent="0.25">
      <c r="A1165" s="1"/>
      <c r="B1165" s="1"/>
      <c r="C1165" s="1"/>
      <c r="D1165" s="1"/>
      <c r="E1165" s="1"/>
      <c r="F1165" s="1"/>
      <c r="G1165" s="1488" t="s">
        <v>2703</v>
      </c>
      <c r="H1165" s="4" t="str">
        <f>'BID IV'!B490</f>
        <v>Belanja Pakaian Seragam</v>
      </c>
      <c r="I1165" s="1"/>
      <c r="J1165" s="1"/>
      <c r="K1165" s="91">
        <f>'BID IV'!F491</f>
        <v>6750000</v>
      </c>
      <c r="L1165" s="1" t="s">
        <v>1409</v>
      </c>
    </row>
    <row r="1166" spans="1:13" ht="30" x14ac:dyDescent="0.25">
      <c r="A1166" s="1"/>
      <c r="B1166" s="1"/>
      <c r="C1166" s="1"/>
      <c r="D1166" s="1"/>
      <c r="E1166" s="1"/>
      <c r="F1166" s="1"/>
      <c r="G1166" s="1">
        <v>90</v>
      </c>
      <c r="H1166" s="4" t="str">
        <f>'BID IV'!B492</f>
        <v>Belanja Upakara, Upacara Dan Aci</v>
      </c>
      <c r="I1166" s="1"/>
      <c r="J1166" s="1"/>
      <c r="K1166" s="91">
        <f>SUM('BID IV'!F493:F495)</f>
        <v>65000</v>
      </c>
      <c r="L1166" s="1" t="s">
        <v>1409</v>
      </c>
    </row>
    <row r="1167" spans="1:13" x14ac:dyDescent="0.25">
      <c r="A1167" s="1"/>
      <c r="B1167" s="1"/>
      <c r="C1167" s="1"/>
      <c r="D1167" s="1">
        <v>5</v>
      </c>
      <c r="E1167" s="1">
        <v>2</v>
      </c>
      <c r="F1167" s="1">
        <v>2</v>
      </c>
      <c r="G1167" s="1"/>
      <c r="H1167" s="4" t="str">
        <f>'BID IV'!B496</f>
        <v>Belanja Honorarium</v>
      </c>
      <c r="I1167" s="1"/>
      <c r="J1167" s="1"/>
      <c r="K1167" s="91"/>
      <c r="L1167" s="1"/>
    </row>
    <row r="1168" spans="1:13" ht="45" x14ac:dyDescent="0.25">
      <c r="A1168" s="1"/>
      <c r="B1168" s="1"/>
      <c r="C1168" s="1"/>
      <c r="D1168" s="1"/>
      <c r="E1168" s="1"/>
      <c r="F1168" s="1"/>
      <c r="G1168" s="1488" t="s">
        <v>2697</v>
      </c>
      <c r="H1168" s="4" t="str">
        <f>'BID IV'!B497</f>
        <v>Belanja Jasa Honorarium Ahli/ Profesi/ Narasumber</v>
      </c>
      <c r="I1168" s="1"/>
      <c r="J1168" s="1"/>
      <c r="K1168" s="91">
        <f>'BID IV'!F498</f>
        <v>600000</v>
      </c>
      <c r="L1168" s="1" t="s">
        <v>1409</v>
      </c>
    </row>
    <row r="1169" spans="1:13" x14ac:dyDescent="0.25">
      <c r="A1169" s="1"/>
      <c r="B1169" s="1"/>
      <c r="C1169" s="1"/>
      <c r="D1169" s="1">
        <v>5</v>
      </c>
      <c r="E1169" s="1">
        <v>2</v>
      </c>
      <c r="F1169" s="1">
        <v>4</v>
      </c>
      <c r="G1169" s="1"/>
      <c r="H1169" s="4" t="str">
        <f>'BID IV'!B499</f>
        <v>Belanja Jasa Sewa</v>
      </c>
      <c r="I1169" s="1"/>
      <c r="J1169" s="1"/>
      <c r="K1169" s="91"/>
      <c r="L1169" s="1"/>
    </row>
    <row r="1170" spans="1:13" ht="75" x14ac:dyDescent="0.25">
      <c r="A1170" s="1"/>
      <c r="B1170" s="1"/>
      <c r="C1170" s="1"/>
      <c r="D1170" s="1"/>
      <c r="E1170" s="1"/>
      <c r="F1170" s="1"/>
      <c r="G1170" s="1488" t="s">
        <v>2696</v>
      </c>
      <c r="H1170" s="4" t="str">
        <f>'BID IV'!B500</f>
        <v>Outbone ( Forum Anak 9 + Desa 4 + PKK 3 + LPM 3 + KATAR 3 + Forum Anak Kecamatan 2 + BPD 3 + Jero Bendesa 3 )</v>
      </c>
      <c r="I1170" s="1"/>
      <c r="J1170" s="1"/>
      <c r="K1170" s="91">
        <f>'BID IV'!F500</f>
        <v>15000000</v>
      </c>
      <c r="L1170" s="1" t="s">
        <v>1409</v>
      </c>
    </row>
    <row r="1171" spans="1:13" ht="90" x14ac:dyDescent="0.25">
      <c r="A1171" s="1027">
        <v>4</v>
      </c>
      <c r="B1171" s="1027">
        <v>6</v>
      </c>
      <c r="C1171" s="1491" t="s">
        <v>2694</v>
      </c>
      <c r="D1171" s="1027"/>
      <c r="E1171" s="1027"/>
      <c r="F1171" s="1027"/>
      <c r="G1171" s="1027"/>
      <c r="H1171" s="1028" t="str">
        <f>'BID IV'!B516</f>
        <v>: Pengembangan sarana dan prasarana usaha mikro, kecil dan menengah serta koprasi  (Pelatihan Management BUMDes)</v>
      </c>
      <c r="I1171" s="1027"/>
      <c r="J1171" s="1027"/>
      <c r="K1171" s="1492">
        <f>SUM(K1172:K1178)</f>
        <v>1205000</v>
      </c>
      <c r="L1171" s="1027"/>
      <c r="M1171" s="32">
        <f>'BID IV'!F538</f>
        <v>1205000</v>
      </c>
    </row>
    <row r="1172" spans="1:13" x14ac:dyDescent="0.25">
      <c r="A1172" s="1"/>
      <c r="B1172" s="1"/>
      <c r="C1172" s="1"/>
      <c r="D1172" s="1">
        <v>5</v>
      </c>
      <c r="E1172" s="1">
        <v>2</v>
      </c>
      <c r="F1172" s="1"/>
      <c r="G1172" s="1"/>
      <c r="H1172" s="4" t="str">
        <f>'BID IV'!B522</f>
        <v>Belanja Barang Dan Jasa</v>
      </c>
      <c r="I1172" s="1"/>
      <c r="J1172" s="1"/>
      <c r="K1172" s="91"/>
      <c r="L1172" s="1"/>
    </row>
    <row r="1173" spans="1:13" ht="30" x14ac:dyDescent="0.25">
      <c r="A1173" s="1"/>
      <c r="B1173" s="1"/>
      <c r="C1173" s="1"/>
      <c r="D1173" s="1"/>
      <c r="E1173" s="1"/>
      <c r="F1173" s="1">
        <v>1</v>
      </c>
      <c r="G1173" s="1"/>
      <c r="H1173" s="4" t="str">
        <f>'BID IV'!B523</f>
        <v>Belanja Barang Perlengkapan</v>
      </c>
      <c r="I1173" s="1"/>
      <c r="J1173" s="1"/>
      <c r="K1173" s="91"/>
      <c r="L1173" s="1"/>
    </row>
    <row r="1174" spans="1:13" ht="30" x14ac:dyDescent="0.25">
      <c r="A1174" s="1"/>
      <c r="B1174" s="1"/>
      <c r="C1174" s="1"/>
      <c r="D1174" s="1"/>
      <c r="E1174" s="1"/>
      <c r="F1174" s="1"/>
      <c r="G1174" s="1488" t="s">
        <v>2700</v>
      </c>
      <c r="H1174" s="4" t="str">
        <f>'BID IV'!B524</f>
        <v>Belanja Perlengkapan Barang Konsumsi</v>
      </c>
      <c r="I1174" s="1"/>
      <c r="J1174" s="1"/>
      <c r="K1174" s="91">
        <f>'BID IV'!F525</f>
        <v>450000</v>
      </c>
      <c r="L1174" s="1" t="s">
        <v>1417</v>
      </c>
    </row>
    <row r="1175" spans="1:13" ht="30" x14ac:dyDescent="0.25">
      <c r="A1175" s="1"/>
      <c r="B1175" s="1"/>
      <c r="C1175" s="1"/>
      <c r="D1175" s="1"/>
      <c r="E1175" s="1"/>
      <c r="F1175" s="1"/>
      <c r="G1175" s="1488" t="s">
        <v>2702</v>
      </c>
      <c r="H1175" s="4" t="str">
        <f>'BID IV'!B527</f>
        <v>Belanja Bendera/ Umbul-umbul/ Spanduk</v>
      </c>
      <c r="I1175" s="1"/>
      <c r="J1175" s="1"/>
      <c r="K1175" s="91">
        <f>'BID IV'!F528</f>
        <v>90000</v>
      </c>
      <c r="L1175" s="1" t="s">
        <v>1417</v>
      </c>
    </row>
    <row r="1176" spans="1:13" ht="30" x14ac:dyDescent="0.25">
      <c r="A1176" s="1"/>
      <c r="B1176" s="1"/>
      <c r="C1176" s="1"/>
      <c r="D1176" s="1"/>
      <c r="E1176" s="1"/>
      <c r="F1176" s="1"/>
      <c r="G1176" s="1">
        <v>90</v>
      </c>
      <c r="H1176" s="4" t="str">
        <f>'BID IV'!B530</f>
        <v>Belanja Upakara, Upacara dan Aci</v>
      </c>
      <c r="I1176" s="1"/>
      <c r="J1176" s="1"/>
      <c r="K1176" s="91">
        <f>SUM('BID IV'!F531:F532)</f>
        <v>65000</v>
      </c>
      <c r="L1176" s="1" t="s">
        <v>1417</v>
      </c>
    </row>
    <row r="1177" spans="1:13" x14ac:dyDescent="0.25">
      <c r="A1177" s="1"/>
      <c r="B1177" s="1"/>
      <c r="C1177" s="1"/>
      <c r="D1177" s="1">
        <v>5</v>
      </c>
      <c r="E1177" s="1">
        <v>2</v>
      </c>
      <c r="F1177" s="1">
        <v>2</v>
      </c>
      <c r="G1177" s="1"/>
      <c r="H1177" s="4" t="str">
        <f>'BID IV'!B534</f>
        <v>Belanja Honorarium</v>
      </c>
      <c r="I1177" s="1"/>
      <c r="J1177" s="1"/>
      <c r="K1177" s="91"/>
      <c r="L1177" s="1"/>
    </row>
    <row r="1178" spans="1:13" ht="45" x14ac:dyDescent="0.25">
      <c r="A1178" s="1"/>
      <c r="B1178" s="1"/>
      <c r="C1178" s="1"/>
      <c r="D1178" s="1"/>
      <c r="E1178" s="1"/>
      <c r="F1178" s="1"/>
      <c r="G1178" s="1488" t="s">
        <v>2679</v>
      </c>
      <c r="H1178" s="4" t="str">
        <f>'BID IV'!B535</f>
        <v>Belanja Jasa Honorarium Ahli/Profesi/Konsultan/Narasumber</v>
      </c>
      <c r="I1178" s="1"/>
      <c r="J1178" s="1"/>
      <c r="K1178" s="91">
        <f>'BID IV'!F536</f>
        <v>600000</v>
      </c>
      <c r="L1178" s="1" t="s">
        <v>1417</v>
      </c>
    </row>
    <row r="1179" spans="1:13" ht="75" x14ac:dyDescent="0.25">
      <c r="A1179" s="1027">
        <v>4</v>
      </c>
      <c r="B1179" s="1027">
        <v>2</v>
      </c>
      <c r="C1179" s="1491" t="s">
        <v>2697</v>
      </c>
      <c r="D1179" s="1027"/>
      <c r="E1179" s="1027"/>
      <c r="F1179" s="1027"/>
      <c r="G1179" s="1027"/>
      <c r="H1179" s="1028" t="str">
        <f>'BID IV'!B553</f>
        <v>: Pemeliharaan Saluran Irigasi Tersier/ Sederhana (Saluran Tersier Subak Taman Munduk Enjung bekisting)</v>
      </c>
      <c r="I1179" s="1027"/>
      <c r="J1179" s="1027"/>
      <c r="K1179" s="1492">
        <f>SUM(K1180:K1182)</f>
        <v>37338550</v>
      </c>
      <c r="L1179" s="1027" t="s">
        <v>1711</v>
      </c>
      <c r="M1179" s="32">
        <f>'BID IV'!F577</f>
        <v>0</v>
      </c>
    </row>
    <row r="1180" spans="1:13" ht="30" x14ac:dyDescent="0.25">
      <c r="A1180" s="1"/>
      <c r="B1180" s="1"/>
      <c r="C1180" s="1"/>
      <c r="D1180" s="1">
        <v>5</v>
      </c>
      <c r="E1180" s="1">
        <v>3</v>
      </c>
      <c r="F1180" s="1">
        <v>7</v>
      </c>
      <c r="G1180" s="1"/>
      <c r="H1180" s="4" t="str">
        <f>'BID IV'!B563</f>
        <v>Honor Tim Pelaksana Kegiatan</v>
      </c>
      <c r="I1180" s="1"/>
      <c r="J1180" s="1"/>
      <c r="K1180" s="91">
        <f>'BID IV'!F564</f>
        <v>3475000</v>
      </c>
      <c r="L1180" s="1" t="s">
        <v>1711</v>
      </c>
    </row>
    <row r="1181" spans="1:13" ht="30" x14ac:dyDescent="0.25">
      <c r="A1181" s="1"/>
      <c r="B1181" s="1"/>
      <c r="C1181" s="1"/>
      <c r="D1181" s="1"/>
      <c r="E1181" s="1"/>
      <c r="F1181" s="1"/>
      <c r="G1181" s="1488" t="s">
        <v>2679</v>
      </c>
      <c r="H1181" s="4" t="str">
        <f>'BID IV'!B565</f>
        <v>Belanja Belanja Upah Tenaga Kerja</v>
      </c>
      <c r="I1181" s="1"/>
      <c r="J1181" s="1"/>
      <c r="K1181" s="91">
        <f>'BID IV'!F569</f>
        <v>12840000</v>
      </c>
      <c r="L1181" s="1" t="s">
        <v>1711</v>
      </c>
    </row>
    <row r="1182" spans="1:13" x14ac:dyDescent="0.25">
      <c r="A1182" s="1"/>
      <c r="B1182" s="1"/>
      <c r="C1182" s="1"/>
      <c r="D1182" s="1"/>
      <c r="E1182" s="1"/>
      <c r="F1182" s="1"/>
      <c r="G1182" s="1488" t="s">
        <v>2694</v>
      </c>
      <c r="H1182" s="4" t="str">
        <f>'BID IV'!B570</f>
        <v>Belanja Bahan Baku</v>
      </c>
      <c r="I1182" s="1"/>
      <c r="J1182" s="1"/>
      <c r="K1182" s="91">
        <f>'BID IV'!F575</f>
        <v>21023550</v>
      </c>
      <c r="L1182" s="1" t="s">
        <v>1711</v>
      </c>
    </row>
    <row r="1183" spans="1:13" ht="75" x14ac:dyDescent="0.25">
      <c r="A1183" s="1027">
        <v>4</v>
      </c>
      <c r="B1183" s="1491">
        <v>2</v>
      </c>
      <c r="C1183" s="1491" t="s">
        <v>2697</v>
      </c>
      <c r="D1183" s="1027"/>
      <c r="E1183" s="1027"/>
      <c r="F1183" s="1027"/>
      <c r="G1183" s="1027"/>
      <c r="H1183" s="1028" t="str">
        <f>'BID IV'!B589</f>
        <v>: Pemeliharaan Saluran Irigasi Tersier/ Sederhana (Saluran Tersier Subak Taman Munduk Enjung Rabat Beton Lantai)</v>
      </c>
      <c r="I1183" s="1027"/>
      <c r="J1183" s="1027"/>
      <c r="K1183" s="1492">
        <f>K1186+K1187+K1188</f>
        <v>13229080</v>
      </c>
      <c r="L1183" s="1027" t="s">
        <v>1711</v>
      </c>
      <c r="M1183" s="32">
        <f>'BID IV'!F612</f>
        <v>0</v>
      </c>
    </row>
    <row r="1184" spans="1:13" x14ac:dyDescent="0.25">
      <c r="A1184" s="1"/>
      <c r="B1184" s="1"/>
      <c r="C1184" s="1"/>
      <c r="D1184" s="1">
        <v>5</v>
      </c>
      <c r="E1184" s="1">
        <v>3</v>
      </c>
      <c r="F1184" s="1"/>
      <c r="G1184" s="1"/>
      <c r="H1184" s="4" t="str">
        <f>'BID IV'!B596</f>
        <v>Belanja Modal</v>
      </c>
      <c r="I1184" s="1"/>
      <c r="J1184" s="1"/>
      <c r="K1184" s="91"/>
      <c r="L1184" s="1"/>
    </row>
    <row r="1185" spans="1:13" x14ac:dyDescent="0.25">
      <c r="A1185" s="1"/>
      <c r="B1185" s="1"/>
      <c r="C1185" s="1"/>
      <c r="D1185" s="1"/>
      <c r="E1185" s="1"/>
      <c r="F1185" s="1">
        <v>7</v>
      </c>
      <c r="G1185" s="1"/>
      <c r="H1185" s="4" t="str">
        <f>'BID IV'!B597</f>
        <v>Belanja Modal Irigasi</v>
      </c>
      <c r="I1185" s="1"/>
      <c r="J1185" s="1"/>
      <c r="K1185" s="91"/>
      <c r="L1185" s="1"/>
    </row>
    <row r="1186" spans="1:13" ht="30" x14ac:dyDescent="0.25">
      <c r="A1186" s="1"/>
      <c r="B1186" s="1"/>
      <c r="C1186" s="1"/>
      <c r="D1186" s="1"/>
      <c r="E1186" s="1"/>
      <c r="F1186" s="1"/>
      <c r="G1186" s="1488" t="s">
        <v>2679</v>
      </c>
      <c r="H1186" s="4" t="str">
        <f>'BID IV'!B598</f>
        <v>Honor Tim Pelaksana Kegiatan</v>
      </c>
      <c r="I1186" s="1"/>
      <c r="J1186" s="1"/>
      <c r="K1186" s="91"/>
      <c r="L1186" s="1"/>
    </row>
    <row r="1187" spans="1:13" ht="30" x14ac:dyDescent="0.25">
      <c r="A1187" s="1"/>
      <c r="B1187" s="1"/>
      <c r="C1187" s="1"/>
      <c r="D1187" s="1"/>
      <c r="E1187" s="1"/>
      <c r="F1187" s="1"/>
      <c r="G1187" s="1488" t="s">
        <v>2694</v>
      </c>
      <c r="H1187" s="4" t="str">
        <f>'BID IV'!B601</f>
        <v>Belanja Belanja Upah Tenaga Kerja</v>
      </c>
      <c r="I1187" s="1"/>
      <c r="J1187" s="1"/>
      <c r="K1187" s="91">
        <f>'BID IV'!F605</f>
        <v>1860000</v>
      </c>
      <c r="L1187" s="1" t="s">
        <v>1711</v>
      </c>
    </row>
    <row r="1188" spans="1:13" x14ac:dyDescent="0.25">
      <c r="A1188" s="1"/>
      <c r="B1188" s="1"/>
      <c r="C1188" s="1"/>
      <c r="D1188" s="1"/>
      <c r="E1188" s="1"/>
      <c r="F1188" s="1"/>
      <c r="G1188" s="1488" t="s">
        <v>2696</v>
      </c>
      <c r="H1188" s="1" t="str">
        <f>'BID IV'!B606</f>
        <v>Belanja Bahan Baku</v>
      </c>
      <c r="I1188" s="1"/>
      <c r="J1188" s="1"/>
      <c r="K1188" s="91">
        <f>'BID IV'!F610</f>
        <v>11369080</v>
      </c>
      <c r="L1188" s="1" t="s">
        <v>1711</v>
      </c>
    </row>
    <row r="1189" spans="1:13" ht="90" x14ac:dyDescent="0.25">
      <c r="A1189" s="1027">
        <v>4</v>
      </c>
      <c r="B1189" s="1491">
        <v>2</v>
      </c>
      <c r="C1189" s="1491" t="s">
        <v>2697</v>
      </c>
      <c r="D1189" s="1027"/>
      <c r="E1189" s="1027"/>
      <c r="F1189" s="1027"/>
      <c r="G1189" s="1027"/>
      <c r="H1189" s="1028" t="str">
        <f>'BID IV'!B621</f>
        <v>: Pemeliharaan Saluran Irigasi Tersier/ Sederhana (Saluran Tersier Subak Taman Munduk Enjung Pembersihan Side dan pembongkaran)</v>
      </c>
      <c r="I1189" s="1027"/>
      <c r="J1189" s="1027"/>
      <c r="K1189" s="1492">
        <f>K1192+K1193</f>
        <v>9140000</v>
      </c>
      <c r="L1189" s="1027"/>
      <c r="M1189" s="32">
        <f>'BID IV'!F637</f>
        <v>0</v>
      </c>
    </row>
    <row r="1190" spans="1:13" x14ac:dyDescent="0.25">
      <c r="A1190" s="1"/>
      <c r="B1190" s="1"/>
      <c r="C1190" s="1"/>
      <c r="D1190" s="1">
        <v>5</v>
      </c>
      <c r="E1190" s="1">
        <v>3</v>
      </c>
      <c r="F1190" s="1"/>
      <c r="G1190" s="1"/>
      <c r="H1190" s="4" t="str">
        <f>'BID IV'!B628</f>
        <v>Belanja Modal</v>
      </c>
      <c r="I1190" s="1"/>
      <c r="J1190" s="1"/>
      <c r="K1190" s="91"/>
      <c r="L1190" s="1"/>
    </row>
    <row r="1191" spans="1:13" x14ac:dyDescent="0.25">
      <c r="A1191" s="1"/>
      <c r="B1191" s="1"/>
      <c r="C1191" s="1"/>
      <c r="D1191" s="1"/>
      <c r="E1191" s="1"/>
      <c r="F1191" s="1">
        <v>7</v>
      </c>
      <c r="G1191" s="1"/>
      <c r="H1191" s="4" t="str">
        <f>'BID IV'!B629</f>
        <v>Belanja Modal Irigasi</v>
      </c>
      <c r="I1191" s="1"/>
      <c r="J1191" s="1"/>
      <c r="K1191" s="91"/>
      <c r="L1191" s="1"/>
    </row>
    <row r="1192" spans="1:13" ht="30" x14ac:dyDescent="0.25">
      <c r="A1192" s="1"/>
      <c r="B1192" s="1"/>
      <c r="C1192" s="1"/>
      <c r="D1192" s="1"/>
      <c r="E1192" s="1"/>
      <c r="F1192" s="1"/>
      <c r="G1192" s="1488" t="s">
        <v>2679</v>
      </c>
      <c r="H1192" s="4" t="str">
        <f>'BID IV'!B630</f>
        <v>Honor Tim Pelaksana Kegiatan</v>
      </c>
      <c r="I1192" s="1"/>
      <c r="J1192" s="1"/>
      <c r="K1192" s="91">
        <f>'BID IV'!F632</f>
        <v>170000</v>
      </c>
      <c r="L1192" s="1" t="s">
        <v>1711</v>
      </c>
    </row>
    <row r="1193" spans="1:13" ht="30" x14ac:dyDescent="0.25">
      <c r="A1193" s="1"/>
      <c r="B1193" s="1"/>
      <c r="C1193" s="1"/>
      <c r="D1193" s="1"/>
      <c r="E1193" s="1"/>
      <c r="F1193" s="1"/>
      <c r="G1193" s="1488" t="s">
        <v>2694</v>
      </c>
      <c r="H1193" s="4" t="str">
        <f>'BID IV'!B633</f>
        <v>Belanja Belanja Upah Tenaga Kerja</v>
      </c>
      <c r="I1193" s="1"/>
      <c r="J1193" s="1"/>
      <c r="K1193" s="91">
        <f>'BID IV'!F635</f>
        <v>8970000</v>
      </c>
      <c r="L1193" s="1" t="s">
        <v>1711</v>
      </c>
      <c r="M1193" s="32"/>
    </row>
    <row r="1194" spans="1:13" ht="75" x14ac:dyDescent="0.25">
      <c r="A1194" s="1027">
        <v>4</v>
      </c>
      <c r="B1194" s="1491">
        <v>2</v>
      </c>
      <c r="C1194" s="1491" t="s">
        <v>2697</v>
      </c>
      <c r="D1194" s="1027"/>
      <c r="E1194" s="1027"/>
      <c r="F1194" s="1027"/>
      <c r="G1194" s="1027"/>
      <c r="H1194" s="1028" t="str">
        <f>'BID IV'!B646</f>
        <v>: Pemeliharaan Saluran Irigasi Tersier/ Sederhana (Saluran Tersier Subak Taman Munduk Enjung Pembesian)</v>
      </c>
      <c r="I1194" s="1027"/>
      <c r="J1194" s="1027"/>
      <c r="K1194" s="1492">
        <f>SUM(K1195:K1199)</f>
        <v>66292525.000000007</v>
      </c>
      <c r="L1194" s="1027"/>
      <c r="M1194" s="32">
        <f>'BID IV'!F668</f>
        <v>0</v>
      </c>
    </row>
    <row r="1195" spans="1:13" x14ac:dyDescent="0.25">
      <c r="A1195" s="1"/>
      <c r="B1195" s="1"/>
      <c r="C1195" s="1"/>
      <c r="D1195" s="1">
        <v>5</v>
      </c>
      <c r="E1195" s="1">
        <v>3</v>
      </c>
      <c r="F1195" s="1"/>
      <c r="G1195" s="1"/>
      <c r="H1195" s="4" t="str">
        <f>'BID IV'!B653</f>
        <v>Belanja Modal</v>
      </c>
      <c r="I1195" s="1"/>
      <c r="J1195" s="1"/>
      <c r="K1195" s="91"/>
      <c r="L1195" s="1"/>
    </row>
    <row r="1196" spans="1:13" x14ac:dyDescent="0.25">
      <c r="A1196" s="1"/>
      <c r="B1196" s="1"/>
      <c r="C1196" s="1"/>
      <c r="D1196" s="1"/>
      <c r="E1196" s="1"/>
      <c r="F1196" s="1">
        <v>7</v>
      </c>
      <c r="G1196" s="1"/>
      <c r="H1196" s="4" t="str">
        <f>'BID IV'!B654</f>
        <v>Belanja Modal Irigasi</v>
      </c>
      <c r="I1196" s="1"/>
      <c r="J1196" s="1"/>
      <c r="K1196" s="91"/>
      <c r="L1196" s="1"/>
    </row>
    <row r="1197" spans="1:13" ht="30" x14ac:dyDescent="0.25">
      <c r="A1197" s="1"/>
      <c r="B1197" s="1"/>
      <c r="C1197" s="1"/>
      <c r="D1197" s="1"/>
      <c r="E1197" s="1"/>
      <c r="F1197" s="1"/>
      <c r="G1197" s="1488" t="s">
        <v>2679</v>
      </c>
      <c r="H1197" s="4" t="str">
        <f>'BID IV'!B655</f>
        <v>Honor Tim Pelaksana Kegiatan</v>
      </c>
      <c r="I1197" s="1"/>
      <c r="J1197" s="1"/>
      <c r="K1197" s="91">
        <f>'BID IV'!F657</f>
        <v>0</v>
      </c>
      <c r="L1197" s="1" t="s">
        <v>1711</v>
      </c>
    </row>
    <row r="1198" spans="1:13" ht="30" x14ac:dyDescent="0.25">
      <c r="A1198" s="1"/>
      <c r="B1198" s="1"/>
      <c r="C1198" s="1"/>
      <c r="D1198" s="1"/>
      <c r="E1198" s="1"/>
      <c r="F1198" s="1"/>
      <c r="G1198" s="1488" t="s">
        <v>2694</v>
      </c>
      <c r="H1198" s="4" t="str">
        <f>'BID IV'!B658</f>
        <v>Belanja Belanja Upah Tenaga Kerja</v>
      </c>
      <c r="I1198" s="1"/>
      <c r="J1198" s="1"/>
      <c r="K1198" s="91">
        <f>'BID IV'!F662</f>
        <v>6690000</v>
      </c>
      <c r="L1198" s="1" t="s">
        <v>1711</v>
      </c>
    </row>
    <row r="1199" spans="1:13" x14ac:dyDescent="0.25">
      <c r="A1199" s="1"/>
      <c r="B1199" s="1"/>
      <c r="C1199" s="1"/>
      <c r="D1199" s="1"/>
      <c r="E1199" s="1"/>
      <c r="F1199" s="1"/>
      <c r="G1199" s="1488" t="s">
        <v>2696</v>
      </c>
      <c r="H1199" s="1" t="str">
        <f>'BID IV'!B663</f>
        <v>Belanja Bahan Baku</v>
      </c>
      <c r="I1199" s="1"/>
      <c r="J1199" s="1"/>
      <c r="K1199" s="91">
        <f>'BID IV'!F666</f>
        <v>59602525.000000007</v>
      </c>
      <c r="L1199" s="1" t="s">
        <v>1711</v>
      </c>
    </row>
    <row r="1200" spans="1:13" ht="75" x14ac:dyDescent="0.25">
      <c r="A1200" s="1027">
        <v>4</v>
      </c>
      <c r="B1200" s="1491">
        <v>2</v>
      </c>
      <c r="C1200" s="1491" t="s">
        <v>2697</v>
      </c>
      <c r="D1200" s="1027"/>
      <c r="E1200" s="1027"/>
      <c r="F1200" s="1027"/>
      <c r="G1200" s="1027"/>
      <c r="H1200" s="1028" t="str">
        <f>'BID IV'!B676</f>
        <v>: Pemeliharaan Saluran Irigasi Tersier/ Sederhana (Saluran Tersier Subak Taman Munduk Enjung Pembetonan)</v>
      </c>
      <c r="I1200" s="1027"/>
      <c r="J1200" s="1027"/>
      <c r="K1200" s="1492">
        <f>SUM(K1201:K1205)</f>
        <v>65955629.642857134</v>
      </c>
      <c r="L1200" s="1027"/>
      <c r="M1200" s="32">
        <f>'BID IV'!F699</f>
        <v>0</v>
      </c>
    </row>
    <row r="1201" spans="1:12" x14ac:dyDescent="0.25">
      <c r="A1201" s="1"/>
      <c r="B1201" s="1"/>
      <c r="C1201" s="1"/>
      <c r="D1201" s="1">
        <v>5</v>
      </c>
      <c r="E1201" s="1">
        <v>3</v>
      </c>
      <c r="F1201" s="1"/>
      <c r="G1201" s="1"/>
      <c r="H1201" s="4" t="str">
        <f>'BID IV'!B683</f>
        <v>Belanja Modal</v>
      </c>
      <c r="I1201" s="1"/>
      <c r="J1201" s="1"/>
      <c r="K1201" s="91"/>
      <c r="L1201" s="1"/>
    </row>
    <row r="1202" spans="1:12" x14ac:dyDescent="0.25">
      <c r="A1202" s="1"/>
      <c r="B1202" s="1"/>
      <c r="C1202" s="1"/>
      <c r="D1202" s="1"/>
      <c r="E1202" s="1"/>
      <c r="F1202" s="1">
        <v>7</v>
      </c>
      <c r="G1202" s="1"/>
      <c r="H1202" s="4" t="str">
        <f>'BID IV'!B684</f>
        <v>Belanja Modal Irigasi</v>
      </c>
      <c r="I1202" s="1"/>
      <c r="J1202" s="1"/>
      <c r="K1202" s="91"/>
      <c r="L1202" s="1"/>
    </row>
    <row r="1203" spans="1:12" ht="30" x14ac:dyDescent="0.25">
      <c r="A1203" s="1"/>
      <c r="B1203" s="1"/>
      <c r="C1203" s="1"/>
      <c r="D1203" s="1"/>
      <c r="E1203" s="1"/>
      <c r="F1203" s="1"/>
      <c r="G1203" s="1488" t="s">
        <v>2679</v>
      </c>
      <c r="H1203" s="4" t="str">
        <f>'BID IV'!B685</f>
        <v>Honor Tim Pelaksana Kegiatan</v>
      </c>
      <c r="I1203" s="1"/>
      <c r="J1203" s="1"/>
      <c r="K1203" s="91">
        <f>'BID IV'!F687</f>
        <v>0</v>
      </c>
      <c r="L1203" s="1" t="s">
        <v>1711</v>
      </c>
    </row>
    <row r="1204" spans="1:12" ht="30" x14ac:dyDescent="0.25">
      <c r="A1204" s="1"/>
      <c r="B1204" s="1"/>
      <c r="C1204" s="1"/>
      <c r="D1204" s="1"/>
      <c r="E1204" s="1"/>
      <c r="F1204" s="1"/>
      <c r="G1204" s="1488" t="s">
        <v>2694</v>
      </c>
      <c r="H1204" s="4" t="str">
        <f>'BID IV'!B688</f>
        <v>Belanja Belanja Upah Tenaga Kerja</v>
      </c>
      <c r="I1204" s="1"/>
      <c r="J1204" s="1"/>
      <c r="K1204" s="91">
        <f>'BID IV'!F692</f>
        <v>10100000</v>
      </c>
      <c r="L1204" s="1" t="s">
        <v>1711</v>
      </c>
    </row>
    <row r="1205" spans="1:12" x14ac:dyDescent="0.25">
      <c r="A1205" s="1"/>
      <c r="B1205" s="1"/>
      <c r="C1205" s="1"/>
      <c r="D1205" s="1"/>
      <c r="E1205" s="1"/>
      <c r="F1205" s="1"/>
      <c r="G1205" s="1488" t="s">
        <v>2696</v>
      </c>
      <c r="H1205" s="1" t="str">
        <f>'BID IV'!B693</f>
        <v>Belanja Bahan Baku</v>
      </c>
      <c r="I1205" s="1"/>
      <c r="J1205" s="1"/>
      <c r="K1205" s="91">
        <f>'BID IV'!F697</f>
        <v>55855629.642857134</v>
      </c>
      <c r="L1205" s="1" t="s">
        <v>1711</v>
      </c>
    </row>
    <row r="1206" spans="1:12" x14ac:dyDescent="0.25">
      <c r="A1206" s="1489">
        <v>5</v>
      </c>
      <c r="B1206" s="1489"/>
      <c r="C1206" s="1489"/>
      <c r="D1206" s="1489"/>
      <c r="E1206" s="1489"/>
      <c r="F1206" s="1489"/>
      <c r="G1206" s="1489"/>
      <c r="H1206" s="1489" t="str">
        <f>'BID V'!B5</f>
        <v>: Bidang Pemberdayaan Masyarakat</v>
      </c>
      <c r="I1206" s="1489"/>
      <c r="J1206" s="1489"/>
      <c r="K1206" s="1495">
        <f>K1208</f>
        <v>158400000</v>
      </c>
      <c r="L1206" s="1489"/>
    </row>
    <row r="1207" spans="1:12" x14ac:dyDescent="0.25">
      <c r="A1207" s="1027">
        <v>5</v>
      </c>
      <c r="B1207" s="1027">
        <v>3</v>
      </c>
      <c r="C1207" s="1027"/>
      <c r="D1207" s="1027"/>
      <c r="E1207" s="1027"/>
      <c r="F1207" s="1027"/>
      <c r="G1207" s="1027"/>
      <c r="H1207" s="1027" t="str">
        <f>'BID V'!B6</f>
        <v>: Keadaan Mendesak</v>
      </c>
      <c r="I1207" s="1027"/>
      <c r="J1207" s="1027"/>
      <c r="K1207" s="1492"/>
      <c r="L1207" s="1027"/>
    </row>
    <row r="1208" spans="1:12" ht="45" x14ac:dyDescent="0.25">
      <c r="A1208" s="1027">
        <v>5</v>
      </c>
      <c r="B1208" s="1027">
        <v>3</v>
      </c>
      <c r="C1208" s="1491" t="s">
        <v>2727</v>
      </c>
      <c r="D1208" s="1027"/>
      <c r="E1208" s="1027"/>
      <c r="F1208" s="1027"/>
      <c r="G1208" s="1027"/>
      <c r="H1208" s="1028" t="str">
        <f>'BID V'!B7</f>
        <v xml:space="preserve"> Penanggulangan Keadaan Mendesak Pemberian BLT</v>
      </c>
      <c r="I1208" s="1027"/>
      <c r="J1208" s="1027"/>
      <c r="K1208" s="1492">
        <f>K1211</f>
        <v>158400000</v>
      </c>
      <c r="L1208" s="1027" t="s">
        <v>1711</v>
      </c>
    </row>
    <row r="1209" spans="1:12" x14ac:dyDescent="0.25">
      <c r="A1209" s="1"/>
      <c r="B1209" s="1"/>
      <c r="C1209" s="1"/>
      <c r="D1209" s="1">
        <v>5</v>
      </c>
      <c r="E1209" s="1">
        <v>4</v>
      </c>
      <c r="F1209" s="1"/>
      <c r="G1209" s="1"/>
      <c r="H1209" s="1" t="str">
        <f>'BID V'!B13</f>
        <v>Belanja Tak Terduga</v>
      </c>
      <c r="I1209" s="1"/>
      <c r="J1209" s="1"/>
      <c r="K1209" s="91"/>
      <c r="L1209" s="1"/>
    </row>
    <row r="1210" spans="1:12" x14ac:dyDescent="0.25">
      <c r="A1210" s="1"/>
      <c r="B1210" s="1"/>
      <c r="C1210" s="1"/>
      <c r="D1210" s="1"/>
      <c r="E1210" s="1"/>
      <c r="F1210" s="1">
        <v>1</v>
      </c>
      <c r="G1210" s="1"/>
      <c r="H1210" s="1" t="str">
        <f>'BID V'!B14</f>
        <v>Belanja Tak Terduga</v>
      </c>
      <c r="I1210" s="1"/>
      <c r="J1210" s="1"/>
      <c r="K1210" s="91"/>
      <c r="L1210" s="1"/>
    </row>
    <row r="1211" spans="1:12" x14ac:dyDescent="0.25">
      <c r="A1211" s="1"/>
      <c r="B1211" s="1"/>
      <c r="C1211" s="1"/>
      <c r="D1211" s="1"/>
      <c r="E1211" s="1"/>
      <c r="F1211" s="1"/>
      <c r="G1211" s="1488" t="s">
        <v>2679</v>
      </c>
      <c r="H1211" s="1" t="str">
        <f>'BID V'!B15</f>
        <v>Belanja Tak Terduga</v>
      </c>
      <c r="I1211" s="1"/>
      <c r="J1211" s="1"/>
      <c r="K1211" s="91">
        <f>'BID V'!F16</f>
        <v>158400000</v>
      </c>
      <c r="L1211" s="1" t="s">
        <v>1711</v>
      </c>
    </row>
    <row r="1212" spans="1:12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91"/>
      <c r="L1212" s="1"/>
    </row>
    <row r="1213" spans="1:12" x14ac:dyDescent="0.25">
      <c r="A1213" s="1489"/>
      <c r="B1213" s="1489"/>
      <c r="C1213" s="1489"/>
      <c r="D1213" s="1489"/>
      <c r="E1213" s="1489"/>
      <c r="F1213" s="1489"/>
      <c r="G1213" s="1489"/>
      <c r="H1213" s="1489" t="s">
        <v>2728</v>
      </c>
      <c r="I1213" s="1489"/>
      <c r="J1213" s="1489"/>
      <c r="K1213" s="1495" t="e">
        <f>K1206+K1072+K829+K288+K43</f>
        <v>#REF!</v>
      </c>
      <c r="L1213" s="1489"/>
    </row>
    <row r="1214" spans="1:12" x14ac:dyDescent="0.25">
      <c r="A1214" s="1489"/>
      <c r="B1214" s="1489"/>
      <c r="C1214" s="1489"/>
      <c r="D1214" s="1489"/>
      <c r="E1214" s="1489"/>
      <c r="F1214" s="1489"/>
      <c r="G1214" s="1489"/>
      <c r="H1214" s="1489" t="s">
        <v>2729</v>
      </c>
      <c r="I1214" s="1489"/>
      <c r="J1214" s="1489"/>
      <c r="K1214" s="1495" t="e">
        <f>K41-K1213</f>
        <v>#REF!</v>
      </c>
      <c r="L1214" s="1489"/>
    </row>
    <row r="1215" spans="1:12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91"/>
      <c r="L1215" s="1"/>
    </row>
    <row r="1216" spans="1:12" x14ac:dyDescent="0.25">
      <c r="A1216" s="1"/>
      <c r="B1216" s="1"/>
      <c r="C1216" s="1"/>
      <c r="D1216" s="1">
        <v>6</v>
      </c>
      <c r="E1216" s="1"/>
      <c r="F1216" s="1"/>
      <c r="G1216" s="967"/>
      <c r="H1216" s="4" t="s">
        <v>2730</v>
      </c>
      <c r="I1216" s="1"/>
      <c r="J1216" s="1"/>
      <c r="K1216" s="91"/>
      <c r="L1216" s="1"/>
    </row>
    <row r="1217" spans="1:12" x14ac:dyDescent="0.25">
      <c r="A1217" s="1"/>
      <c r="B1217" s="1"/>
      <c r="C1217" s="1"/>
      <c r="D1217" s="1">
        <v>6</v>
      </c>
      <c r="E1217" s="1">
        <v>1</v>
      </c>
      <c r="F1217" s="1"/>
      <c r="G1217" s="967"/>
      <c r="H1217" s="4" t="s">
        <v>2731</v>
      </c>
      <c r="I1217" s="1"/>
      <c r="J1217" s="1"/>
      <c r="K1217" s="91"/>
      <c r="L1217" s="1"/>
    </row>
    <row r="1218" spans="1:12" x14ac:dyDescent="0.25">
      <c r="A1218" s="1"/>
      <c r="B1218" s="1"/>
      <c r="C1218" s="1"/>
      <c r="D1218" s="1">
        <v>6</v>
      </c>
      <c r="E1218" s="1">
        <v>1</v>
      </c>
      <c r="F1218" s="1">
        <v>1</v>
      </c>
      <c r="G1218" s="967"/>
      <c r="H1218" s="4" t="s">
        <v>2732</v>
      </c>
      <c r="I1218" s="1"/>
      <c r="J1218" s="1"/>
      <c r="K1218" s="91"/>
      <c r="L1218" s="1"/>
    </row>
    <row r="1219" spans="1:12" x14ac:dyDescent="0.25">
      <c r="A1219" s="1489"/>
      <c r="B1219" s="1489"/>
      <c r="C1219" s="1489"/>
      <c r="D1219" s="1489">
        <v>6</v>
      </c>
      <c r="E1219" s="1489">
        <v>1</v>
      </c>
      <c r="F1219" s="1489">
        <v>1</v>
      </c>
      <c r="G1219" s="1496">
        <v>1</v>
      </c>
      <c r="H1219" s="1490" t="s">
        <v>2732</v>
      </c>
      <c r="I1219" s="1489"/>
      <c r="J1219" s="1489"/>
      <c r="K1219" s="1495">
        <f>Htungan!N4+Htungan!O4+Htungan!P4+Htungan!Q4+Htungan!R4+Htungan!S4+Htungan!T4</f>
        <v>1958528381.02</v>
      </c>
      <c r="L1219" s="1489"/>
    </row>
    <row r="1220" spans="1:12" x14ac:dyDescent="0.25">
      <c r="A1220" s="1"/>
      <c r="B1220" s="1"/>
      <c r="C1220" s="1"/>
      <c r="D1220" s="1"/>
      <c r="E1220" s="1"/>
      <c r="F1220" s="1"/>
      <c r="G1220" s="967"/>
      <c r="H1220" s="4"/>
      <c r="I1220" s="1"/>
      <c r="J1220" s="1"/>
      <c r="K1220" s="91"/>
      <c r="L1220" s="1"/>
    </row>
    <row r="1221" spans="1:12" x14ac:dyDescent="0.25">
      <c r="A1221" s="1"/>
      <c r="B1221" s="1"/>
      <c r="C1221" s="1"/>
      <c r="D1221" s="1">
        <v>6</v>
      </c>
      <c r="E1221" s="1">
        <v>2</v>
      </c>
      <c r="F1221" s="1"/>
      <c r="G1221" s="967"/>
      <c r="H1221" s="4" t="s">
        <v>2733</v>
      </c>
      <c r="I1221" s="1"/>
      <c r="J1221" s="1"/>
      <c r="K1221" s="91"/>
      <c r="L1221" s="1"/>
    </row>
    <row r="1222" spans="1:12" x14ac:dyDescent="0.25">
      <c r="A1222" s="1"/>
      <c r="B1222" s="1"/>
      <c r="C1222" s="1"/>
      <c r="D1222" s="1">
        <v>6</v>
      </c>
      <c r="E1222" s="1">
        <v>2</v>
      </c>
      <c r="F1222" s="1">
        <v>2</v>
      </c>
      <c r="G1222" s="967"/>
      <c r="H1222" s="4" t="s">
        <v>2734</v>
      </c>
      <c r="I1222" s="1"/>
      <c r="J1222" s="1"/>
      <c r="K1222" s="91"/>
      <c r="L1222" s="1"/>
    </row>
    <row r="1223" spans="1:12" ht="30" x14ac:dyDescent="0.25">
      <c r="A1223" s="1489"/>
      <c r="B1223" s="1489"/>
      <c r="C1223" s="1489"/>
      <c r="D1223" s="1489">
        <v>6</v>
      </c>
      <c r="E1223" s="1489">
        <v>2</v>
      </c>
      <c r="F1223" s="1489">
        <v>2</v>
      </c>
      <c r="G1223" s="1496">
        <v>1</v>
      </c>
      <c r="H1223" s="1490" t="s">
        <v>2737</v>
      </c>
      <c r="I1223" s="1489"/>
      <c r="J1223" s="1489"/>
      <c r="K1223" s="1495">
        <v>2000000000</v>
      </c>
      <c r="L1223" s="1489"/>
    </row>
    <row r="1224" spans="1:12" x14ac:dyDescent="0.25">
      <c r="A1224" s="1"/>
      <c r="B1224" s="1"/>
      <c r="C1224" s="1"/>
      <c r="D1224" s="1"/>
      <c r="E1224" s="1"/>
      <c r="F1224" s="1"/>
      <c r="G1224" s="967"/>
      <c r="H1224" s="4"/>
      <c r="I1224" s="1"/>
      <c r="J1224" s="1"/>
      <c r="K1224" s="91"/>
      <c r="L1224" s="1"/>
    </row>
    <row r="1225" spans="1:12" ht="15.75" thickBot="1" x14ac:dyDescent="0.3">
      <c r="A1225" s="1"/>
      <c r="B1225" s="1"/>
      <c r="C1225" s="1"/>
      <c r="D1225" s="1"/>
      <c r="E1225" s="1"/>
      <c r="F1225" s="1"/>
      <c r="G1225" s="967"/>
      <c r="H1225" s="1127"/>
      <c r="I1225" s="1"/>
      <c r="J1225" s="1"/>
      <c r="K1225" s="91"/>
      <c r="L1225" s="1"/>
    </row>
    <row r="1226" spans="1:12" ht="15.75" thickBot="1" x14ac:dyDescent="0.3">
      <c r="A1226" s="1489"/>
      <c r="B1226" s="1489"/>
      <c r="C1226" s="1489"/>
      <c r="D1226" s="1489"/>
      <c r="E1226" s="1489"/>
      <c r="F1226" s="1489"/>
      <c r="G1226" s="1496"/>
      <c r="H1226" s="1497" t="s">
        <v>2735</v>
      </c>
      <c r="I1226" s="1489"/>
      <c r="J1226" s="1489"/>
      <c r="K1226" s="1495">
        <f>K1219-K1223</f>
        <v>-41471618.980000019</v>
      </c>
      <c r="L1226" s="1489"/>
    </row>
    <row r="1227" spans="1:12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91"/>
      <c r="L1227" s="1"/>
    </row>
    <row r="1228" spans="1:12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91"/>
      <c r="L1228" s="1"/>
    </row>
    <row r="1229" spans="1:12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91"/>
      <c r="L1229" s="1"/>
    </row>
    <row r="1230" spans="1:12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91"/>
      <c r="L1230" s="1"/>
    </row>
    <row r="1231" spans="1:12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91"/>
      <c r="L1231" s="1"/>
    </row>
    <row r="1232" spans="1:12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91"/>
      <c r="L1232" s="1"/>
    </row>
    <row r="1233" spans="1:12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91"/>
      <c r="L1233" s="1"/>
    </row>
    <row r="1234" spans="1:12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91"/>
      <c r="L1234" s="1"/>
    </row>
    <row r="1235" spans="1:12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91"/>
      <c r="L1235" s="1"/>
    </row>
    <row r="1236" spans="1:12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91"/>
      <c r="L1236" s="1"/>
    </row>
    <row r="1237" spans="1:12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91"/>
      <c r="L1237" s="1"/>
    </row>
    <row r="1238" spans="1:12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91"/>
      <c r="L1238" s="1"/>
    </row>
    <row r="1239" spans="1:12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91"/>
      <c r="L1239" s="1"/>
    </row>
    <row r="1240" spans="1:12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91"/>
      <c r="L1240" s="1"/>
    </row>
    <row r="1241" spans="1:12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91"/>
      <c r="L1241" s="1"/>
    </row>
    <row r="1242" spans="1:12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91"/>
      <c r="L1242" s="1"/>
    </row>
    <row r="1243" spans="1:12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91"/>
      <c r="L1243" s="1"/>
    </row>
    <row r="1244" spans="1:12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91"/>
      <c r="L1244" s="1"/>
    </row>
    <row r="1245" spans="1:12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91"/>
      <c r="L1245" s="1"/>
    </row>
    <row r="1246" spans="1:12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91"/>
      <c r="L1246" s="1"/>
    </row>
    <row r="1247" spans="1:12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91"/>
      <c r="L1247" s="1"/>
    </row>
    <row r="1248" spans="1:12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91"/>
      <c r="L1248" s="1"/>
    </row>
    <row r="1249" spans="1:12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91"/>
      <c r="L1249" s="1"/>
    </row>
    <row r="1250" spans="1:12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91"/>
      <c r="L1250" s="1"/>
    </row>
    <row r="1251" spans="1:12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91"/>
      <c r="L1251" s="1"/>
    </row>
    <row r="1252" spans="1:12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91"/>
      <c r="L1252" s="1"/>
    </row>
    <row r="1253" spans="1:12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91"/>
      <c r="L1253" s="1"/>
    </row>
    <row r="1254" spans="1:12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91"/>
      <c r="L1254" s="1"/>
    </row>
    <row r="1255" spans="1:12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91"/>
      <c r="L1255" s="1"/>
    </row>
    <row r="1256" spans="1:12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91"/>
      <c r="L1256" s="1"/>
    </row>
    <row r="1257" spans="1:12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91"/>
      <c r="L1257" s="1"/>
    </row>
    <row r="1258" spans="1:12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91"/>
      <c r="L1258" s="1"/>
    </row>
    <row r="1259" spans="1:12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91"/>
      <c r="L1259" s="1"/>
    </row>
    <row r="1260" spans="1:12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91"/>
      <c r="L1260" s="1"/>
    </row>
    <row r="1261" spans="1:12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91"/>
      <c r="L1261" s="1"/>
    </row>
    <row r="1262" spans="1:12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91"/>
      <c r="L1262" s="1"/>
    </row>
    <row r="1263" spans="1:12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91"/>
      <c r="L1263" s="1"/>
    </row>
    <row r="1264" spans="1:12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91"/>
      <c r="L1264" s="1"/>
    </row>
    <row r="1265" spans="1:12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91"/>
      <c r="L1265" s="1"/>
    </row>
    <row r="1266" spans="1:12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91"/>
      <c r="L1266" s="1"/>
    </row>
    <row r="1267" spans="1:12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91"/>
      <c r="L1267" s="1"/>
    </row>
    <row r="1268" spans="1:12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91"/>
      <c r="L1268" s="1"/>
    </row>
    <row r="1269" spans="1:12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91"/>
      <c r="L1269" s="1"/>
    </row>
    <row r="1270" spans="1:12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91"/>
      <c r="L1270" s="1"/>
    </row>
    <row r="1271" spans="1:12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91"/>
      <c r="L1271" s="1"/>
    </row>
    <row r="1272" spans="1:12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91"/>
      <c r="L1272" s="1"/>
    </row>
    <row r="1273" spans="1:12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91"/>
      <c r="L1273" s="1"/>
    </row>
    <row r="1274" spans="1:12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91"/>
      <c r="L1274" s="1"/>
    </row>
    <row r="1275" spans="1:12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91"/>
      <c r="L1275" s="1"/>
    </row>
    <row r="1276" spans="1:12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91"/>
      <c r="L1276" s="1"/>
    </row>
    <row r="1277" spans="1:12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91"/>
      <c r="L1277" s="1"/>
    </row>
    <row r="1278" spans="1:12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91"/>
      <c r="L1278" s="1"/>
    </row>
    <row r="1279" spans="1:12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91"/>
      <c r="L1279" s="1"/>
    </row>
    <row r="1280" spans="1:12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91"/>
      <c r="L1280" s="1"/>
    </row>
    <row r="1281" spans="1:12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91"/>
      <c r="L1281" s="1"/>
    </row>
    <row r="1282" spans="1:12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91"/>
      <c r="L1282" s="1"/>
    </row>
    <row r="1283" spans="1:12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91"/>
      <c r="L1283" s="1"/>
    </row>
    <row r="1284" spans="1:12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91"/>
      <c r="L1284" s="1"/>
    </row>
    <row r="1285" spans="1:12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91"/>
      <c r="L1285" s="1"/>
    </row>
    <row r="1286" spans="1:12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91"/>
      <c r="L1286" s="1"/>
    </row>
    <row r="1287" spans="1:12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91"/>
      <c r="L1287" s="1"/>
    </row>
    <row r="1288" spans="1:12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91"/>
      <c r="L1288" s="1"/>
    </row>
    <row r="1289" spans="1:12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91"/>
      <c r="L1289" s="1"/>
    </row>
    <row r="1290" spans="1:12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91"/>
      <c r="L1290" s="1"/>
    </row>
    <row r="1291" spans="1:12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91"/>
      <c r="L1291" s="1"/>
    </row>
    <row r="1292" spans="1:12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91"/>
      <c r="L1292" s="1"/>
    </row>
    <row r="1293" spans="1:12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91"/>
      <c r="L1293" s="1"/>
    </row>
    <row r="1294" spans="1:12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91"/>
      <c r="L1294" s="1"/>
    </row>
    <row r="1295" spans="1:12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91"/>
      <c r="L1295" s="1"/>
    </row>
    <row r="1296" spans="1:12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91"/>
      <c r="L1296" s="1"/>
    </row>
    <row r="1297" spans="1:12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91"/>
      <c r="L1297" s="1"/>
    </row>
    <row r="1298" spans="1:12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91"/>
      <c r="L1298" s="1"/>
    </row>
    <row r="1299" spans="1:12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91"/>
      <c r="L1299" s="1"/>
    </row>
    <row r="1300" spans="1:12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91"/>
      <c r="L1300" s="1"/>
    </row>
    <row r="1301" spans="1:12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91"/>
      <c r="L1301" s="1"/>
    </row>
    <row r="1302" spans="1:12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91"/>
      <c r="L1302" s="1"/>
    </row>
    <row r="1303" spans="1:12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91"/>
      <c r="L1303" s="1"/>
    </row>
    <row r="1304" spans="1:12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91"/>
      <c r="L1304" s="1"/>
    </row>
    <row r="1305" spans="1:12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91"/>
      <c r="L1305" s="1"/>
    </row>
    <row r="1306" spans="1:12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91"/>
      <c r="L1306" s="1"/>
    </row>
    <row r="1307" spans="1:12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91"/>
      <c r="L1307" s="1"/>
    </row>
    <row r="1308" spans="1:12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91"/>
      <c r="L1308" s="1"/>
    </row>
    <row r="1309" spans="1:12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91"/>
      <c r="L1309" s="1"/>
    </row>
    <row r="1310" spans="1:12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91"/>
      <c r="L1310" s="1"/>
    </row>
    <row r="1311" spans="1:12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91"/>
      <c r="L1311" s="1"/>
    </row>
    <row r="1312" spans="1:12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91"/>
      <c r="L1312" s="1"/>
    </row>
    <row r="1313" spans="1:12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91"/>
      <c r="L1313" s="1"/>
    </row>
    <row r="1314" spans="1:12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91"/>
      <c r="L1314" s="1"/>
    </row>
    <row r="1315" spans="1:12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91"/>
      <c r="L1315" s="1"/>
    </row>
    <row r="1316" spans="1:12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91"/>
      <c r="L1316" s="1"/>
    </row>
    <row r="1317" spans="1:12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91"/>
      <c r="L1317" s="1"/>
    </row>
    <row r="1318" spans="1:12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91"/>
      <c r="L1318" s="1"/>
    </row>
    <row r="1319" spans="1:12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91"/>
      <c r="L1319" s="1"/>
    </row>
    <row r="1320" spans="1:12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91"/>
      <c r="L1320" s="1"/>
    </row>
    <row r="1321" spans="1:12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91"/>
      <c r="L1321" s="1"/>
    </row>
    <row r="1322" spans="1:12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91"/>
      <c r="L1322" s="1"/>
    </row>
    <row r="1323" spans="1:12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91"/>
      <c r="L1323" s="1"/>
    </row>
    <row r="1324" spans="1:12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91"/>
      <c r="L1324" s="1"/>
    </row>
    <row r="1325" spans="1:12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91"/>
      <c r="L1325" s="1"/>
    </row>
    <row r="1326" spans="1:12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91"/>
      <c r="L1326" s="1"/>
    </row>
    <row r="1327" spans="1:12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91"/>
      <c r="L1327" s="1"/>
    </row>
    <row r="1328" spans="1:12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91"/>
      <c r="L1328" s="1"/>
    </row>
    <row r="1329" spans="1:12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91"/>
      <c r="L1329" s="1"/>
    </row>
    <row r="1330" spans="1:12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91"/>
      <c r="L1330" s="1"/>
    </row>
    <row r="1331" spans="1:12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91"/>
      <c r="L1331" s="1"/>
    </row>
    <row r="1332" spans="1:12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91"/>
      <c r="L1332" s="1"/>
    </row>
    <row r="1333" spans="1:12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91"/>
      <c r="L1333" s="1"/>
    </row>
    <row r="1334" spans="1:12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91"/>
      <c r="L1334" s="1"/>
    </row>
    <row r="1335" spans="1:12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91"/>
      <c r="L1335" s="1"/>
    </row>
    <row r="1336" spans="1:12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91"/>
      <c r="L1336" s="1"/>
    </row>
    <row r="1337" spans="1:12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91"/>
      <c r="L1337" s="1"/>
    </row>
    <row r="1338" spans="1:12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91"/>
      <c r="L1338" s="1"/>
    </row>
    <row r="1339" spans="1:12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91"/>
      <c r="L1339" s="1"/>
    </row>
    <row r="1340" spans="1:12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91"/>
      <c r="L1340" s="1"/>
    </row>
    <row r="1341" spans="1:12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91"/>
      <c r="L1341" s="1"/>
    </row>
    <row r="1342" spans="1:12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91"/>
      <c r="L1342" s="1"/>
    </row>
    <row r="1343" spans="1:12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91"/>
      <c r="L1343" s="1"/>
    </row>
    <row r="1344" spans="1:12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91"/>
      <c r="L1344" s="1"/>
    </row>
    <row r="1345" spans="1:12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91"/>
      <c r="L1345" s="1"/>
    </row>
    <row r="1346" spans="1:12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91"/>
      <c r="L1346" s="1"/>
    </row>
    <row r="1347" spans="1:12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91"/>
      <c r="L1347" s="1"/>
    </row>
    <row r="1348" spans="1:12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91"/>
      <c r="L1348" s="1"/>
    </row>
    <row r="1349" spans="1:12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91"/>
      <c r="L1349" s="1"/>
    </row>
    <row r="1350" spans="1:12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91"/>
      <c r="L1350" s="1"/>
    </row>
    <row r="1351" spans="1:12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91"/>
      <c r="L1351" s="1"/>
    </row>
    <row r="1352" spans="1:12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91"/>
      <c r="L1352" s="1"/>
    </row>
    <row r="1353" spans="1:12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91"/>
      <c r="L1353" s="1"/>
    </row>
    <row r="1354" spans="1:12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91"/>
      <c r="L1354" s="1"/>
    </row>
    <row r="1355" spans="1:12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91"/>
      <c r="L1355" s="1"/>
    </row>
    <row r="1356" spans="1:12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91"/>
      <c r="L1356" s="1"/>
    </row>
    <row r="1357" spans="1:12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91"/>
      <c r="L1357" s="1"/>
    </row>
    <row r="1358" spans="1:12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91"/>
      <c r="L1358" s="1"/>
    </row>
    <row r="1359" spans="1:12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91"/>
      <c r="L1359" s="1"/>
    </row>
    <row r="1360" spans="1:12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91"/>
      <c r="L1360" s="1"/>
    </row>
    <row r="1361" spans="1:12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91"/>
      <c r="L1361" s="1"/>
    </row>
    <row r="1362" spans="1:12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91"/>
      <c r="L1362" s="1"/>
    </row>
    <row r="1363" spans="1:12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91"/>
      <c r="L1363" s="1"/>
    </row>
    <row r="1364" spans="1:12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91"/>
      <c r="L1364" s="1"/>
    </row>
    <row r="1365" spans="1:12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91"/>
      <c r="L1365" s="1"/>
    </row>
    <row r="1366" spans="1:12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91"/>
      <c r="L1366" s="1"/>
    </row>
    <row r="1367" spans="1:12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91"/>
      <c r="L1367" s="1"/>
    </row>
    <row r="1368" spans="1:12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91"/>
      <c r="L1368" s="1"/>
    </row>
    <row r="1369" spans="1:12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91"/>
      <c r="L1369" s="1"/>
    </row>
    <row r="1370" spans="1:12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91"/>
      <c r="L1370" s="1"/>
    </row>
    <row r="1371" spans="1:12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91"/>
      <c r="L1371" s="1"/>
    </row>
    <row r="1372" spans="1:12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91"/>
      <c r="L1372" s="1"/>
    </row>
    <row r="1373" spans="1:12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91"/>
      <c r="L1373" s="1"/>
    </row>
    <row r="1374" spans="1:12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91"/>
      <c r="L1374" s="1"/>
    </row>
    <row r="1375" spans="1:12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91"/>
      <c r="L1375" s="1"/>
    </row>
    <row r="1376" spans="1:12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91"/>
      <c r="L1376" s="1"/>
    </row>
    <row r="1377" spans="1:12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91"/>
      <c r="L1377" s="1"/>
    </row>
    <row r="1378" spans="1:12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91"/>
      <c r="L1378" s="1"/>
    </row>
    <row r="1379" spans="1:12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91"/>
      <c r="L1379" s="1"/>
    </row>
    <row r="1380" spans="1:12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91"/>
      <c r="L1380" s="1"/>
    </row>
    <row r="1381" spans="1:12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91"/>
      <c r="L1381" s="1"/>
    </row>
    <row r="1382" spans="1:12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91"/>
      <c r="L1382" s="1"/>
    </row>
    <row r="1383" spans="1:12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91"/>
      <c r="L1383" s="1"/>
    </row>
    <row r="1384" spans="1:12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91"/>
      <c r="L1384" s="1"/>
    </row>
    <row r="1385" spans="1:12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91"/>
      <c r="L1385" s="1"/>
    </row>
    <row r="1386" spans="1:12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91"/>
      <c r="L1386" s="1"/>
    </row>
    <row r="1387" spans="1:12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91"/>
      <c r="L1387" s="1"/>
    </row>
    <row r="1388" spans="1:12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91"/>
      <c r="L1388" s="1"/>
    </row>
    <row r="1389" spans="1:12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91"/>
      <c r="L1389" s="1"/>
    </row>
    <row r="1390" spans="1:12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91"/>
      <c r="L1390" s="1"/>
    </row>
    <row r="1391" spans="1:12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91"/>
      <c r="L1391" s="1"/>
    </row>
    <row r="1392" spans="1:12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91"/>
      <c r="L1392" s="1"/>
    </row>
    <row r="1393" spans="1:12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91"/>
      <c r="L1393" s="1"/>
    </row>
    <row r="1394" spans="1:12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91"/>
      <c r="L1394" s="1"/>
    </row>
    <row r="1395" spans="1:12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91"/>
      <c r="L1395" s="1"/>
    </row>
    <row r="1396" spans="1:12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91"/>
      <c r="L1396" s="1"/>
    </row>
    <row r="1397" spans="1:12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91"/>
      <c r="L1397" s="1"/>
    </row>
    <row r="1398" spans="1:12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91"/>
      <c r="L1398" s="1"/>
    </row>
    <row r="1399" spans="1:12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91"/>
      <c r="L1399" s="1"/>
    </row>
    <row r="1400" spans="1:12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91"/>
      <c r="L1400" s="1"/>
    </row>
  </sheetData>
  <autoFilter ref="A43:L1234" xr:uid="{9312C76D-8598-458C-B0FA-EF4A1C7CD4E0}"/>
  <mergeCells count="11">
    <mergeCell ref="A18:C18"/>
    <mergeCell ref="D18:G18"/>
    <mergeCell ref="A2:J2"/>
    <mergeCell ref="A12:L12"/>
    <mergeCell ref="A13:L13"/>
    <mergeCell ref="A14:L14"/>
    <mergeCell ref="A16:G17"/>
    <mergeCell ref="H16:H17"/>
    <mergeCell ref="I16:J16"/>
    <mergeCell ref="K16:K17"/>
    <mergeCell ref="L16:L17"/>
  </mergeCells>
  <pageMargins left="0.7" right="0.7" top="0.75" bottom="1.75" header="0.3" footer="0.3"/>
  <pageSetup paperSize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964A-E024-40C1-9D5E-2F8F97306859}">
  <dimension ref="A1:L522"/>
  <sheetViews>
    <sheetView workbookViewId="0">
      <selection activeCell="A22" sqref="A22"/>
    </sheetView>
  </sheetViews>
  <sheetFormatPr defaultRowHeight="15" x14ac:dyDescent="0.25"/>
  <cols>
    <col min="1" max="3" width="3.28515625" customWidth="1"/>
    <col min="4" max="4" width="2.5703125" customWidth="1"/>
    <col min="5" max="5" width="3.28515625" customWidth="1"/>
    <col min="6" max="6" width="24.28515625" customWidth="1"/>
    <col min="7" max="7" width="6.85546875" customWidth="1"/>
    <col min="8" max="8" width="7.28515625" customWidth="1"/>
    <col min="9" max="9" width="18.5703125" style="83" customWidth="1"/>
    <col min="10" max="10" width="7" customWidth="1"/>
    <col min="11" max="11" width="44" customWidth="1"/>
    <col min="12" max="12" width="32.7109375" customWidth="1"/>
  </cols>
  <sheetData>
    <row r="1" spans="1:10" x14ac:dyDescent="0.25">
      <c r="G1" s="83"/>
      <c r="H1" s="5"/>
      <c r="J1" s="5"/>
    </row>
    <row r="2" spans="1:10" x14ac:dyDescent="0.25">
      <c r="A2" s="2067"/>
      <c r="B2" s="2067"/>
      <c r="C2" s="2067"/>
      <c r="D2" s="2067"/>
      <c r="E2" s="2067"/>
      <c r="F2" s="2067"/>
      <c r="G2" s="2067"/>
      <c r="H2" s="2067"/>
      <c r="J2" s="5"/>
    </row>
    <row r="3" spans="1:10" x14ac:dyDescent="0.25">
      <c r="G3" s="1500" t="s">
        <v>2666</v>
      </c>
      <c r="H3" s="1484"/>
      <c r="I3" s="1485"/>
      <c r="J3" s="1486"/>
    </row>
    <row r="4" spans="1:10" x14ac:dyDescent="0.25">
      <c r="G4" s="1500" t="s">
        <v>2740</v>
      </c>
      <c r="H4" s="1484"/>
      <c r="I4" s="1485"/>
      <c r="J4" s="1486"/>
    </row>
    <row r="5" spans="1:10" x14ac:dyDescent="0.25">
      <c r="G5" s="1500" t="s">
        <v>2677</v>
      </c>
      <c r="H5" s="1484"/>
      <c r="I5" s="1485"/>
      <c r="J5" s="1486"/>
    </row>
    <row r="6" spans="1:10" x14ac:dyDescent="0.25">
      <c r="G6" s="1500" t="s">
        <v>2668</v>
      </c>
      <c r="H6" s="1484"/>
      <c r="I6" s="1485"/>
      <c r="J6" s="1486"/>
    </row>
    <row r="7" spans="1:10" x14ac:dyDescent="0.25">
      <c r="G7" s="1500" t="s">
        <v>2669</v>
      </c>
      <c r="H7" s="1484"/>
      <c r="I7" s="1485"/>
      <c r="J7" s="1486"/>
    </row>
    <row r="8" spans="1:10" x14ac:dyDescent="0.25">
      <c r="J8" s="5"/>
    </row>
    <row r="9" spans="1:10" x14ac:dyDescent="0.25">
      <c r="J9" s="5"/>
    </row>
    <row r="10" spans="1:10" x14ac:dyDescent="0.25">
      <c r="J10" s="5"/>
    </row>
    <row r="11" spans="1:10" x14ac:dyDescent="0.25">
      <c r="J11" s="5"/>
    </row>
    <row r="12" spans="1:10" x14ac:dyDescent="0.25">
      <c r="A12" s="2067" t="s">
        <v>2739</v>
      </c>
      <c r="B12" s="2067"/>
      <c r="C12" s="2067"/>
      <c r="D12" s="2067"/>
      <c r="E12" s="2067"/>
      <c r="F12" s="2067"/>
      <c r="G12" s="2067"/>
      <c r="H12" s="2067"/>
      <c r="I12" s="2067"/>
      <c r="J12" s="2067"/>
    </row>
    <row r="13" spans="1:10" x14ac:dyDescent="0.25">
      <c r="A13" s="2067" t="s">
        <v>2671</v>
      </c>
      <c r="B13" s="2067"/>
      <c r="C13" s="2067"/>
      <c r="D13" s="2067"/>
      <c r="E13" s="2067"/>
      <c r="F13" s="2067"/>
      <c r="G13" s="2067"/>
      <c r="H13" s="2067"/>
      <c r="I13" s="2067"/>
      <c r="J13" s="2067"/>
    </row>
    <row r="14" spans="1:10" x14ac:dyDescent="0.25">
      <c r="A14" s="2067" t="s">
        <v>1769</v>
      </c>
      <c r="B14" s="2067"/>
      <c r="C14" s="2067"/>
      <c r="D14" s="2067"/>
      <c r="E14" s="2067"/>
      <c r="F14" s="2067"/>
      <c r="G14" s="2067"/>
      <c r="H14" s="2067"/>
      <c r="I14" s="2067"/>
      <c r="J14" s="2067"/>
    </row>
    <row r="15" spans="1:10" x14ac:dyDescent="0.25">
      <c r="J15" s="5"/>
    </row>
    <row r="16" spans="1:10" x14ac:dyDescent="0.25">
      <c r="A16" s="2066" t="s">
        <v>2672</v>
      </c>
      <c r="B16" s="2066"/>
      <c r="C16" s="2066"/>
      <c r="D16" s="2066"/>
      <c r="E16" s="2066"/>
      <c r="F16" s="2066" t="s">
        <v>11</v>
      </c>
      <c r="G16" s="2068" t="s">
        <v>2673</v>
      </c>
      <c r="H16" s="2068"/>
      <c r="I16" s="2069" t="s">
        <v>2674</v>
      </c>
      <c r="J16" s="2070" t="s">
        <v>2675</v>
      </c>
    </row>
    <row r="17" spans="1:12" x14ac:dyDescent="0.25">
      <c r="A17" s="2066"/>
      <c r="B17" s="2066"/>
      <c r="C17" s="2066"/>
      <c r="D17" s="2066"/>
      <c r="E17" s="2066"/>
      <c r="F17" s="2066"/>
      <c r="G17" s="1487" t="s">
        <v>12</v>
      </c>
      <c r="H17" s="1487" t="s">
        <v>2676</v>
      </c>
      <c r="I17" s="2069"/>
      <c r="J17" s="2070"/>
    </row>
    <row r="18" spans="1:12" x14ac:dyDescent="0.25">
      <c r="A18" s="2066">
        <v>1</v>
      </c>
      <c r="B18" s="2066"/>
      <c r="C18" s="2066"/>
      <c r="D18" s="2066">
        <v>2</v>
      </c>
      <c r="E18" s="2066"/>
      <c r="F18" s="34">
        <v>3</v>
      </c>
      <c r="G18" s="34">
        <v>4</v>
      </c>
      <c r="H18" s="34">
        <v>5</v>
      </c>
      <c r="I18" s="133">
        <v>6</v>
      </c>
      <c r="J18" s="38">
        <v>7</v>
      </c>
    </row>
    <row r="19" spans="1:12" x14ac:dyDescent="0.25">
      <c r="A19" s="34" t="s">
        <v>1087</v>
      </c>
      <c r="B19" s="34" t="s">
        <v>1088</v>
      </c>
      <c r="C19" s="34" t="s">
        <v>1089</v>
      </c>
      <c r="D19" s="34" t="s">
        <v>1087</v>
      </c>
      <c r="E19" s="34" t="s">
        <v>1088</v>
      </c>
      <c r="F19" s="1"/>
      <c r="G19" s="1"/>
      <c r="H19" s="1"/>
      <c r="I19" s="91"/>
      <c r="J19" s="4"/>
    </row>
    <row r="20" spans="1:12" x14ac:dyDescent="0.25">
      <c r="A20" s="1"/>
      <c r="B20" s="1"/>
      <c r="C20" s="1"/>
      <c r="D20" s="1">
        <v>4</v>
      </c>
      <c r="E20" s="1"/>
      <c r="F20" s="1" t="s">
        <v>2678</v>
      </c>
      <c r="G20" s="1"/>
      <c r="H20" s="1"/>
      <c r="I20" s="91"/>
      <c r="J20" s="1"/>
    </row>
    <row r="21" spans="1:12" x14ac:dyDescent="0.25">
      <c r="A21" s="1"/>
      <c r="B21" s="1"/>
      <c r="C21" s="1"/>
      <c r="D21" s="1">
        <v>4</v>
      </c>
      <c r="E21" s="1">
        <v>1</v>
      </c>
      <c r="F21" s="1" t="s">
        <v>1390</v>
      </c>
      <c r="G21" s="1"/>
      <c r="H21" s="1"/>
      <c r="I21" s="91">
        <f>Penjabaran!K22+Penjabaran!K24</f>
        <v>320826400</v>
      </c>
      <c r="J21" s="1"/>
    </row>
    <row r="22" spans="1:12" x14ac:dyDescent="0.25">
      <c r="A22" s="1"/>
      <c r="B22" s="1"/>
      <c r="C22" s="1"/>
      <c r="D22" s="1">
        <v>4</v>
      </c>
      <c r="E22" s="1">
        <v>2</v>
      </c>
      <c r="F22" s="1" t="s">
        <v>2683</v>
      </c>
      <c r="G22" s="1"/>
      <c r="H22" s="1"/>
      <c r="I22" s="91">
        <f>Penjabaran!K27+Penjabaran!K29+Penjabaran!K30+Penjabaran!K32+Penjabaran!K34+Penjabaran!K36</f>
        <v>11125971105</v>
      </c>
      <c r="J22" s="1"/>
    </row>
    <row r="23" spans="1:12" x14ac:dyDescent="0.25">
      <c r="A23" s="1"/>
      <c r="B23" s="1"/>
      <c r="C23" s="1"/>
      <c r="D23" s="1">
        <v>4</v>
      </c>
      <c r="E23" s="1">
        <v>3</v>
      </c>
      <c r="F23" s="1" t="s">
        <v>2689</v>
      </c>
      <c r="G23" s="1"/>
      <c r="H23" s="1"/>
      <c r="I23" s="91">
        <f>Penjabaran!K39</f>
        <v>24103550</v>
      </c>
      <c r="J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91">
        <f>Penjabaran!K40</f>
        <v>0</v>
      </c>
      <c r="J24" s="1"/>
    </row>
    <row r="25" spans="1:12" x14ac:dyDescent="0.25">
      <c r="A25" s="1"/>
      <c r="B25" s="1"/>
      <c r="C25" s="1"/>
      <c r="D25" s="1"/>
      <c r="E25" s="1"/>
      <c r="F25" s="1" t="s">
        <v>2690</v>
      </c>
      <c r="G25" s="1"/>
      <c r="H25" s="1"/>
      <c r="I25" s="91">
        <f>SUM(I21:I24)</f>
        <v>11470901055</v>
      </c>
      <c r="J25" s="1"/>
      <c r="K25" s="172">
        <f>SUM(I21:I24)</f>
        <v>11470901055</v>
      </c>
    </row>
    <row r="26" spans="1:12" x14ac:dyDescent="0.25">
      <c r="A26" s="1"/>
      <c r="B26" s="1"/>
      <c r="C26" s="1"/>
      <c r="D26" s="1">
        <v>5</v>
      </c>
      <c r="E26" s="1"/>
      <c r="F26" s="1" t="s">
        <v>2693</v>
      </c>
      <c r="G26" s="1"/>
      <c r="H26" s="1"/>
      <c r="I26" s="91">
        <f>Penjabaran!K42</f>
        <v>0</v>
      </c>
      <c r="J26" s="1"/>
    </row>
    <row r="27" spans="1:12" ht="30" x14ac:dyDescent="0.25">
      <c r="A27" s="1489">
        <v>1</v>
      </c>
      <c r="B27" s="1489"/>
      <c r="C27" s="1489"/>
      <c r="D27" s="1489"/>
      <c r="E27" s="1489"/>
      <c r="F27" s="1490" t="str">
        <f>'BID I'!B5</f>
        <v>: Penyelenggaraan Pemerintahan Desa</v>
      </c>
      <c r="G27" s="1489"/>
      <c r="H27" s="1489"/>
      <c r="I27" s="1495">
        <f>Penjabaran!K43</f>
        <v>0</v>
      </c>
      <c r="J27" s="1489"/>
      <c r="K27" s="83">
        <f>Htungan!X8</f>
        <v>3802283774.9499998</v>
      </c>
      <c r="L27" s="32">
        <f>I27-K27</f>
        <v>-3802283774.9499998</v>
      </c>
    </row>
    <row r="28" spans="1:12" ht="75" x14ac:dyDescent="0.25">
      <c r="A28" s="1027">
        <v>1</v>
      </c>
      <c r="B28" s="1027">
        <v>1</v>
      </c>
      <c r="C28" s="1027"/>
      <c r="D28" s="1027"/>
      <c r="E28" s="1027"/>
      <c r="F28" s="1028" t="str">
        <f>'BID I'!B6</f>
        <v>: Penyelenggaraan Belanja Penghasilan Tetap, Tunjangan dan Operasional Pemerintah Desa ( Maksimal 30% )</v>
      </c>
      <c r="G28" s="1027"/>
      <c r="H28" s="1027"/>
      <c r="I28" s="1492">
        <f>Penjabaran!K44</f>
        <v>0</v>
      </c>
      <c r="J28" s="1027"/>
    </row>
    <row r="29" spans="1:12" ht="45" x14ac:dyDescent="0.25">
      <c r="A29" s="1027"/>
      <c r="B29" s="1027"/>
      <c r="C29" s="1491" t="s">
        <v>2679</v>
      </c>
      <c r="D29" s="1027"/>
      <c r="E29" s="1027"/>
      <c r="F29" s="1028" t="str">
        <f>'BID I'!B7</f>
        <v>: Penyediaan Penghasilan tetap dan Tunjangan Perbekel</v>
      </c>
      <c r="G29" s="1027"/>
      <c r="H29" s="1027"/>
      <c r="I29" s="1492">
        <f>Penjabaran!K45</f>
        <v>180740000</v>
      </c>
      <c r="J29" s="1028" t="s">
        <v>2695</v>
      </c>
      <c r="K29" s="36">
        <f>'BID I'!F20</f>
        <v>180740000</v>
      </c>
    </row>
    <row r="30" spans="1:12" x14ac:dyDescent="0.25">
      <c r="A30" s="1"/>
      <c r="B30" s="1"/>
      <c r="C30" s="1"/>
      <c r="D30" s="1">
        <v>5</v>
      </c>
      <c r="E30" s="1">
        <v>1</v>
      </c>
      <c r="F30" s="1" t="str">
        <f>'BID I'!B13</f>
        <v xml:space="preserve">Belanja Pegawai </v>
      </c>
      <c r="G30" s="1"/>
      <c r="H30" s="1"/>
      <c r="I30" s="91">
        <f>I29</f>
        <v>180740000</v>
      </c>
      <c r="J30" s="1"/>
      <c r="K30" s="32">
        <f>I29-K29</f>
        <v>0</v>
      </c>
    </row>
    <row r="31" spans="1:12" ht="45" x14ac:dyDescent="0.25">
      <c r="A31" s="1027">
        <v>1</v>
      </c>
      <c r="B31" s="1027">
        <v>1</v>
      </c>
      <c r="C31" s="1491" t="s">
        <v>2694</v>
      </c>
      <c r="D31" s="1027"/>
      <c r="E31" s="1027"/>
      <c r="F31" s="1028" t="str">
        <f>'BID I'!B35</f>
        <v>: Penyediaan Penghasilan tetap dan Tunjangan Perangkat Desa</v>
      </c>
      <c r="G31" s="1027"/>
      <c r="H31" s="1027"/>
      <c r="I31" s="1492">
        <f>Penjabaran!K52</f>
        <v>1050277376</v>
      </c>
      <c r="J31" s="1027"/>
      <c r="K31" s="36">
        <f>'BID I'!F61</f>
        <v>1050277376</v>
      </c>
    </row>
    <row r="32" spans="1:12" x14ac:dyDescent="0.25">
      <c r="A32" s="1"/>
      <c r="B32" s="1"/>
      <c r="C32" s="1"/>
      <c r="D32" s="1">
        <v>5</v>
      </c>
      <c r="E32" s="1">
        <v>1</v>
      </c>
      <c r="F32" s="4" t="str">
        <f>'BID I'!B40</f>
        <v xml:space="preserve">Belanja Pegawai </v>
      </c>
      <c r="G32" s="1"/>
      <c r="H32" s="1"/>
      <c r="I32" s="91">
        <f>I31</f>
        <v>1050277376</v>
      </c>
      <c r="J32" s="1"/>
    </row>
    <row r="33" spans="1:11" ht="60" x14ac:dyDescent="0.25">
      <c r="A33" s="1027">
        <v>1</v>
      </c>
      <c r="B33" s="1027">
        <v>1</v>
      </c>
      <c r="C33" s="1491" t="s">
        <v>2696</v>
      </c>
      <c r="D33" s="1027"/>
      <c r="E33" s="1027"/>
      <c r="F33" s="1028" t="str">
        <f>'BID I'!B75</f>
        <v>Penyediaan Jaminan Kesehatan dan Ketenaga Kerjaan Bagi Perbekel dan Perangkat Desa</v>
      </c>
      <c r="G33" s="1027"/>
      <c r="H33" s="1027"/>
      <c r="I33" s="1492">
        <f>Penjabaran!K57</f>
        <v>77457316.560000002</v>
      </c>
      <c r="J33" s="1027"/>
      <c r="K33" s="36">
        <f>'BID I'!F93</f>
        <v>77457316.560000002</v>
      </c>
    </row>
    <row r="34" spans="1:11" x14ac:dyDescent="0.25">
      <c r="A34" s="1"/>
      <c r="B34" s="1"/>
      <c r="C34" s="1"/>
      <c r="D34" s="1">
        <v>5</v>
      </c>
      <c r="E34" s="1">
        <v>1</v>
      </c>
      <c r="F34" s="4" t="str">
        <f>'BID I'!B80</f>
        <v>Belanja Pegawai :</v>
      </c>
      <c r="G34" s="1"/>
      <c r="H34" s="1"/>
      <c r="I34" s="91">
        <f>I33</f>
        <v>77457316.560000002</v>
      </c>
      <c r="J34" s="1"/>
    </row>
    <row r="35" spans="1:11" ht="30" x14ac:dyDescent="0.25">
      <c r="A35" s="1027">
        <v>1</v>
      </c>
      <c r="B35" s="1027" t="s">
        <v>2698</v>
      </c>
      <c r="C35" s="1027"/>
      <c r="D35" s="1027"/>
      <c r="E35" s="1027"/>
      <c r="F35" s="1028" t="str">
        <f>'BID I'!B109</f>
        <v>: Penyediaan Operasional Pemerintah Desa</v>
      </c>
      <c r="G35" s="1027"/>
      <c r="H35" s="1027"/>
      <c r="I35" s="1492">
        <f>Penjabaran!K64</f>
        <v>595935188</v>
      </c>
      <c r="J35" s="1027"/>
      <c r="K35" s="36">
        <f>'BID I'!F276</f>
        <v>595935188</v>
      </c>
    </row>
    <row r="36" spans="1:11" x14ac:dyDescent="0.25">
      <c r="A36" s="1"/>
      <c r="B36" s="1"/>
      <c r="C36" s="1"/>
      <c r="D36" s="1">
        <v>5</v>
      </c>
      <c r="E36" s="1">
        <v>2</v>
      </c>
      <c r="F36" s="4" t="str">
        <f>'BID I'!B114</f>
        <v>Belanja Barang Jasa :</v>
      </c>
      <c r="G36" s="1"/>
      <c r="H36" s="1"/>
      <c r="I36" s="91">
        <f>I35</f>
        <v>595935188</v>
      </c>
      <c r="J36" s="1"/>
    </row>
    <row r="37" spans="1:11" ht="45" x14ac:dyDescent="0.25">
      <c r="A37" s="1027">
        <v>1</v>
      </c>
      <c r="B37" s="1027">
        <v>1</v>
      </c>
      <c r="C37" s="1491" t="s">
        <v>2697</v>
      </c>
      <c r="D37" s="1027"/>
      <c r="E37" s="1027"/>
      <c r="F37" s="1028" t="str">
        <f>'BID I'!B292</f>
        <v>: Penyediaan Oprasional Pemerinthanan Desa ( Kegiatan Rapat - Rapat)</v>
      </c>
      <c r="G37" s="1027"/>
      <c r="H37" s="1027"/>
      <c r="I37" s="1492">
        <f>Penjabaran!K97</f>
        <v>28980000</v>
      </c>
      <c r="J37" s="1027"/>
      <c r="K37" s="36">
        <f>'BID I'!F307</f>
        <v>28980000</v>
      </c>
    </row>
    <row r="38" spans="1:11" x14ac:dyDescent="0.25">
      <c r="A38" s="1"/>
      <c r="B38" s="1"/>
      <c r="C38" s="1"/>
      <c r="D38" s="1">
        <v>5</v>
      </c>
      <c r="E38" s="1">
        <v>2</v>
      </c>
      <c r="F38" s="4" t="str">
        <f>'BID I'!B297</f>
        <v>Belanja Barang Jasa :</v>
      </c>
      <c r="G38" s="1"/>
      <c r="H38" s="1"/>
      <c r="I38" s="91">
        <f>I37</f>
        <v>28980000</v>
      </c>
      <c r="J38" s="1"/>
    </row>
    <row r="39" spans="1:11" ht="30" x14ac:dyDescent="0.25">
      <c r="A39" s="1027">
        <v>1</v>
      </c>
      <c r="B39" s="1027">
        <v>1</v>
      </c>
      <c r="C39" s="1491" t="s">
        <v>2699</v>
      </c>
      <c r="D39" s="1027"/>
      <c r="E39" s="1027"/>
      <c r="F39" s="1028" t="str">
        <f>'BID I'!B323</f>
        <v>: Penyediaan tunjangan BPD</v>
      </c>
      <c r="G39" s="1027"/>
      <c r="H39" s="1027"/>
      <c r="I39" s="1492">
        <f>Penjabaran!K102</f>
        <v>457800000</v>
      </c>
      <c r="J39" s="1027"/>
      <c r="K39" s="36">
        <f>'BID I'!F349</f>
        <v>457800000</v>
      </c>
    </row>
    <row r="40" spans="1:11" x14ac:dyDescent="0.25">
      <c r="A40" s="1"/>
      <c r="B40" s="1"/>
      <c r="C40" s="1"/>
      <c r="D40" s="1">
        <v>5</v>
      </c>
      <c r="E40" s="1">
        <v>1</v>
      </c>
      <c r="F40" s="1" t="str">
        <f>'BID I'!B329</f>
        <v>Belanja Pegawai</v>
      </c>
      <c r="G40" s="1"/>
      <c r="H40" s="1"/>
      <c r="I40" s="91">
        <f>I39</f>
        <v>457800000</v>
      </c>
      <c r="J40" s="1"/>
    </row>
    <row r="41" spans="1:11" ht="30" x14ac:dyDescent="0.25">
      <c r="A41" s="1027">
        <v>1</v>
      </c>
      <c r="B41" s="1027">
        <v>1</v>
      </c>
      <c r="C41" s="1491" t="s">
        <v>2700</v>
      </c>
      <c r="D41" s="1027"/>
      <c r="E41" s="1027"/>
      <c r="F41" s="1028" t="str">
        <f>'BID I'!B365</f>
        <v>: Penyediaan Operasional BPD</v>
      </c>
      <c r="G41" s="1027"/>
      <c r="H41" s="1027"/>
      <c r="I41" s="1492">
        <f>Penjabaran!K106</f>
        <v>15974000</v>
      </c>
      <c r="J41" s="1027"/>
      <c r="K41" s="32">
        <f>'BID I'!F390</f>
        <v>15974000</v>
      </c>
    </row>
    <row r="42" spans="1:11" x14ac:dyDescent="0.25">
      <c r="A42" s="1"/>
      <c r="B42" s="1"/>
      <c r="C42" s="1488"/>
      <c r="D42" s="1">
        <v>5</v>
      </c>
      <c r="E42" s="1">
        <v>2</v>
      </c>
      <c r="F42" s="4" t="str">
        <f>'BID I'!B371</f>
        <v>Belanja Barang Jasa :</v>
      </c>
      <c r="G42" s="1"/>
      <c r="H42" s="1"/>
      <c r="I42" s="91">
        <f>I41</f>
        <v>15974000</v>
      </c>
      <c r="J42" s="1"/>
    </row>
    <row r="43" spans="1:11" ht="30" x14ac:dyDescent="0.25">
      <c r="A43" s="1027">
        <v>1</v>
      </c>
      <c r="B43" s="1027">
        <v>1</v>
      </c>
      <c r="C43" s="1491" t="s">
        <v>2700</v>
      </c>
      <c r="D43" s="1027"/>
      <c r="E43" s="1027"/>
      <c r="F43" s="1028" t="str">
        <f>'BID I'!B406</f>
        <v>: Penyediaan Operasional BPD (Musyawarah BPD)</v>
      </c>
      <c r="G43" s="1027"/>
      <c r="H43" s="1027"/>
      <c r="I43" s="1492">
        <f>Penjabaran!K113</f>
        <v>12400000</v>
      </c>
      <c r="J43" s="1027"/>
      <c r="K43" s="36">
        <f>'BID I'!F428</f>
        <v>12400000</v>
      </c>
    </row>
    <row r="44" spans="1:11" x14ac:dyDescent="0.25">
      <c r="A44" s="1"/>
      <c r="B44" s="1"/>
      <c r="C44" s="1488"/>
      <c r="D44" s="1">
        <v>5</v>
      </c>
      <c r="E44" s="1">
        <v>2</v>
      </c>
      <c r="F44" s="4" t="str">
        <f>'BID I'!B412</f>
        <v>Belanja Barang Jasa</v>
      </c>
      <c r="G44" s="1"/>
      <c r="H44" s="1"/>
      <c r="I44" s="91">
        <f>I43</f>
        <v>12400000</v>
      </c>
      <c r="J44" s="1"/>
    </row>
    <row r="45" spans="1:11" ht="30" x14ac:dyDescent="0.25">
      <c r="A45" s="1027">
        <v>1</v>
      </c>
      <c r="B45" s="1027">
        <v>1</v>
      </c>
      <c r="C45" s="1491" t="s">
        <v>2700</v>
      </c>
      <c r="D45" s="1027"/>
      <c r="E45" s="1027"/>
      <c r="F45" s="1028" t="str">
        <f>'BID I'!B443</f>
        <v>: Penyediaan Operasional BPD (Rapat FKAKD)</v>
      </c>
      <c r="G45" s="1027"/>
      <c r="H45" s="1027"/>
      <c r="I45" s="1492">
        <f>Penjabaran!K119</f>
        <v>6685000</v>
      </c>
      <c r="J45" s="1027"/>
      <c r="K45" s="36">
        <f>'BID I'!F464</f>
        <v>6685000</v>
      </c>
    </row>
    <row r="46" spans="1:11" x14ac:dyDescent="0.25">
      <c r="A46" s="1"/>
      <c r="B46" s="1"/>
      <c r="C46" s="1488"/>
      <c r="D46" s="1">
        <v>5</v>
      </c>
      <c r="E46" s="1">
        <v>2</v>
      </c>
      <c r="F46" s="4" t="str">
        <f>'BID I'!B449</f>
        <v>Belanja Barang Jasa</v>
      </c>
      <c r="G46" s="1"/>
      <c r="H46" s="1"/>
      <c r="I46" s="91">
        <f>I45</f>
        <v>6685000</v>
      </c>
      <c r="J46" s="1"/>
    </row>
    <row r="47" spans="1:11" ht="30" x14ac:dyDescent="0.25">
      <c r="A47" s="1027">
        <v>1</v>
      </c>
      <c r="B47" s="1027">
        <v>1</v>
      </c>
      <c r="C47" s="1027">
        <v>91</v>
      </c>
      <c r="D47" s="1027"/>
      <c r="E47" s="1027"/>
      <c r="F47" s="1028" t="str">
        <f>'BID I'!B478</f>
        <v xml:space="preserve">: Penyediaan Penghasilan Staf Desa </v>
      </c>
      <c r="G47" s="1027"/>
      <c r="H47" s="1027"/>
      <c r="I47" s="1492">
        <f>Penjabaran!K125</f>
        <v>545773980</v>
      </c>
      <c r="J47" s="1027"/>
      <c r="K47" s="36">
        <f>'BID I'!F495</f>
        <v>545773980</v>
      </c>
    </row>
    <row r="48" spans="1:11" x14ac:dyDescent="0.25">
      <c r="A48" s="1"/>
      <c r="B48" s="1"/>
      <c r="C48" s="1"/>
      <c r="D48" s="1">
        <v>5</v>
      </c>
      <c r="E48" s="1">
        <v>2</v>
      </c>
      <c r="F48" s="4" t="str">
        <f>'BID I'!B484</f>
        <v>Belanja Barang Jasa</v>
      </c>
      <c r="G48" s="1"/>
      <c r="H48" s="1"/>
      <c r="I48" s="91">
        <f>I47</f>
        <v>545773980</v>
      </c>
      <c r="J48" s="1"/>
    </row>
    <row r="49" spans="1:11" ht="45" x14ac:dyDescent="0.25">
      <c r="A49" s="1027">
        <v>1</v>
      </c>
      <c r="B49" s="1027">
        <v>1</v>
      </c>
      <c r="C49" s="1027">
        <v>93</v>
      </c>
      <c r="D49" s="1027"/>
      <c r="E49" s="1027"/>
      <c r="F49" s="1028" t="str">
        <f>'BID I'!B510</f>
        <v>Penjaringan dan Penyaringan Perangkat Desa/Staf</v>
      </c>
      <c r="G49" s="1027"/>
      <c r="H49" s="1027"/>
      <c r="I49" s="1492">
        <f>Penjabaran!K129</f>
        <v>11505000</v>
      </c>
      <c r="J49" s="1027"/>
      <c r="K49" s="36">
        <f>'BID I'!F538</f>
        <v>11505000</v>
      </c>
    </row>
    <row r="50" spans="1:11" x14ac:dyDescent="0.25">
      <c r="A50" s="1"/>
      <c r="B50" s="1"/>
      <c r="C50" s="1"/>
      <c r="D50" s="1">
        <v>5</v>
      </c>
      <c r="E50" s="1">
        <v>2</v>
      </c>
      <c r="F50" s="4" t="str">
        <f>'BID I'!B516</f>
        <v>Belanja Barang Jasa :</v>
      </c>
      <c r="G50" s="1"/>
      <c r="H50" s="1"/>
      <c r="I50" s="91">
        <f>I49</f>
        <v>11505000</v>
      </c>
      <c r="J50" s="1"/>
    </row>
    <row r="51" spans="1:11" ht="45" x14ac:dyDescent="0.25">
      <c r="A51" s="1027">
        <v>1</v>
      </c>
      <c r="B51" s="1027">
        <v>1</v>
      </c>
      <c r="C51" s="1027">
        <v>93</v>
      </c>
      <c r="D51" s="1027"/>
      <c r="E51" s="1027"/>
      <c r="F51" s="1028" t="str">
        <f>'BID I'!B552</f>
        <v>Penyedian Jaminan Keshatan dan ketenagakerjaan BPD</v>
      </c>
      <c r="G51" s="1027"/>
      <c r="H51" s="1027"/>
      <c r="I51" s="1492">
        <f>Penjabaran!K138</f>
        <v>40181760</v>
      </c>
      <c r="J51" s="1027" t="s">
        <v>1845</v>
      </c>
      <c r="K51" s="36">
        <f>'BID I'!F570</f>
        <v>40181760</v>
      </c>
    </row>
    <row r="52" spans="1:11" x14ac:dyDescent="0.25">
      <c r="A52" s="1"/>
      <c r="B52" s="1"/>
      <c r="C52" s="1"/>
      <c r="D52" s="1">
        <v>5</v>
      </c>
      <c r="E52" s="1">
        <v>1</v>
      </c>
      <c r="F52" s="4" t="str">
        <f>'BID I'!B558</f>
        <v>Belanja Pegawai</v>
      </c>
      <c r="G52" s="1"/>
      <c r="H52" s="1"/>
      <c r="I52" s="91">
        <f>I51</f>
        <v>40181760</v>
      </c>
      <c r="J52" s="1"/>
    </row>
    <row r="53" spans="1:11" ht="60" x14ac:dyDescent="0.25">
      <c r="A53" s="1027">
        <v>1</v>
      </c>
      <c r="B53" s="1027">
        <v>1</v>
      </c>
      <c r="C53" s="1027">
        <v>93</v>
      </c>
      <c r="D53" s="1027"/>
      <c r="E53" s="1027"/>
      <c r="F53" s="1028" t="str">
        <f>'BID I'!B584</f>
        <v>Penyedian Jaminan Keshatan dan ketenagakerjaan Staf Desa</v>
      </c>
      <c r="G53" s="1027"/>
      <c r="H53" s="1027"/>
      <c r="I53" s="1492">
        <f>Penjabaran!K143</f>
        <v>27063220.440000005</v>
      </c>
      <c r="J53" s="1027"/>
      <c r="K53" s="36">
        <f>'BID I'!F606</f>
        <v>27063220.440000009</v>
      </c>
    </row>
    <row r="54" spans="1:11" x14ac:dyDescent="0.25">
      <c r="A54" s="1"/>
      <c r="B54" s="1"/>
      <c r="C54" s="1"/>
      <c r="D54" s="1">
        <v>5</v>
      </c>
      <c r="E54" s="1">
        <v>1</v>
      </c>
      <c r="F54" s="4" t="str">
        <f>'BID I'!B590</f>
        <v>Belanja Pegawai</v>
      </c>
      <c r="G54" s="1"/>
      <c r="H54" s="1"/>
      <c r="I54" s="91">
        <f>I53</f>
        <v>27063220.440000005</v>
      </c>
      <c r="J54" s="1"/>
    </row>
    <row r="55" spans="1:11" ht="30" x14ac:dyDescent="0.25">
      <c r="A55" s="1027">
        <v>1</v>
      </c>
      <c r="B55" s="1027">
        <v>1</v>
      </c>
      <c r="C55" s="1027">
        <v>94</v>
      </c>
      <c r="D55" s="1027"/>
      <c r="E55" s="1027"/>
      <c r="F55" s="1028" t="str">
        <f>'BID I'!B658</f>
        <v>: Penyediaan Kegiatan Sosial Desa</v>
      </c>
      <c r="G55" s="1027"/>
      <c r="H55" s="1027"/>
      <c r="I55" s="1492">
        <f>Penjabaran!K148</f>
        <v>39032000</v>
      </c>
      <c r="J55" s="1027"/>
      <c r="K55" s="32">
        <f>'BID I'!F675</f>
        <v>39032000</v>
      </c>
    </row>
    <row r="56" spans="1:11" x14ac:dyDescent="0.25">
      <c r="A56" s="1"/>
      <c r="B56" s="1"/>
      <c r="C56" s="1"/>
      <c r="D56" s="1">
        <v>5</v>
      </c>
      <c r="E56" s="1">
        <v>2</v>
      </c>
      <c r="F56" s="4" t="str">
        <f>'BID I'!B664</f>
        <v>Belanja Barang Jasa</v>
      </c>
      <c r="G56" s="1"/>
      <c r="H56" s="1"/>
      <c r="I56" s="91">
        <f>I55</f>
        <v>39032000</v>
      </c>
      <c r="J56" s="1"/>
    </row>
    <row r="57" spans="1:11" ht="29.25" customHeight="1" x14ac:dyDescent="0.25">
      <c r="A57" s="1028">
        <v>1</v>
      </c>
      <c r="B57" s="1028">
        <v>1</v>
      </c>
      <c r="C57" s="1028">
        <v>96</v>
      </c>
      <c r="D57" s="1028"/>
      <c r="E57" s="1028"/>
      <c r="F57" s="1028" t="str">
        <f>'BID I'!B716</f>
        <v>: Tambahan  Penghasilan Perbekel dari BKK</v>
      </c>
      <c r="G57" s="1028"/>
      <c r="H57" s="1028"/>
      <c r="I57" s="1492">
        <f>Penjabaran!K152</f>
        <v>18000000</v>
      </c>
      <c r="J57" s="1028"/>
      <c r="K57" s="36">
        <f>'BID I'!F727</f>
        <v>18000000</v>
      </c>
    </row>
    <row r="58" spans="1:11" x14ac:dyDescent="0.25">
      <c r="A58" s="1"/>
      <c r="B58" s="1"/>
      <c r="C58" s="1"/>
      <c r="D58" s="1">
        <v>5</v>
      </c>
      <c r="E58" s="1">
        <v>1</v>
      </c>
      <c r="F58" s="4" t="str">
        <f>'BID I'!B722</f>
        <v xml:space="preserve">Belanja Pegawai </v>
      </c>
      <c r="G58" s="1"/>
      <c r="H58" s="1"/>
      <c r="I58" s="91">
        <f>I57</f>
        <v>18000000</v>
      </c>
      <c r="J58" s="1"/>
    </row>
    <row r="59" spans="1:11" ht="30" x14ac:dyDescent="0.25">
      <c r="A59" s="1027">
        <v>1</v>
      </c>
      <c r="B59" s="1027">
        <v>1</v>
      </c>
      <c r="C59" s="1027">
        <v>96</v>
      </c>
      <c r="D59" s="1027"/>
      <c r="E59" s="1027"/>
      <c r="F59" s="1028" t="str">
        <f>'BID I'!B741</f>
        <v>: Tambahan  Penghasilan Perangkat Desa dari BKK</v>
      </c>
      <c r="G59" s="1027"/>
      <c r="H59" s="1027"/>
      <c r="I59" s="1492">
        <f>Penjabaran!K156</f>
        <v>56400000</v>
      </c>
      <c r="J59" s="1027"/>
      <c r="K59" s="36">
        <f>'BID I'!F757</f>
        <v>56400000</v>
      </c>
    </row>
    <row r="60" spans="1:11" x14ac:dyDescent="0.25">
      <c r="A60" s="1"/>
      <c r="B60" s="1"/>
      <c r="C60" s="1"/>
      <c r="D60" s="1">
        <v>5</v>
      </c>
      <c r="E60" s="1">
        <v>1</v>
      </c>
      <c r="F60" s="1" t="str">
        <f>'BID I'!B747</f>
        <v xml:space="preserve">Belanja Pegawai </v>
      </c>
      <c r="G60" s="1"/>
      <c r="H60" s="1"/>
      <c r="I60" s="91">
        <f>I59</f>
        <v>56400000</v>
      </c>
      <c r="J60" s="1"/>
    </row>
    <row r="61" spans="1:11" ht="30" x14ac:dyDescent="0.25">
      <c r="A61" s="1027">
        <v>1</v>
      </c>
      <c r="B61" s="1027">
        <v>2</v>
      </c>
      <c r="C61" s="1027"/>
      <c r="D61" s="1027"/>
      <c r="E61" s="1027"/>
      <c r="F61" s="1028" t="str">
        <f>'BID I'!B771</f>
        <v>: Sarana dan Prasarana Pemerintah Desa</v>
      </c>
      <c r="G61" s="1027"/>
      <c r="H61" s="1027"/>
      <c r="I61" s="1492">
        <f>Penjabaran!K160</f>
        <v>0</v>
      </c>
      <c r="J61" s="1027"/>
    </row>
    <row r="62" spans="1:11" ht="30" x14ac:dyDescent="0.25">
      <c r="A62" s="1027">
        <v>1</v>
      </c>
      <c r="B62" s="1027">
        <v>2</v>
      </c>
      <c r="C62" s="1491" t="s">
        <v>2679</v>
      </c>
      <c r="D62" s="1027"/>
      <c r="E62" s="1027"/>
      <c r="F62" s="1028" t="str">
        <f>'BID I'!B772</f>
        <v>: Penyediaan Aset Tetap (Prasarana Kantor Desa)</v>
      </c>
      <c r="G62" s="1027"/>
      <c r="H62" s="1027"/>
      <c r="I62" s="1492" t="e">
        <f>Penjabaran!K161</f>
        <v>#REF!</v>
      </c>
      <c r="J62" s="1027"/>
      <c r="K62" s="32">
        <f>'BID I'!F801</f>
        <v>135982100.75</v>
      </c>
    </row>
    <row r="63" spans="1:11" x14ac:dyDescent="0.25">
      <c r="A63" s="1"/>
      <c r="B63" s="1"/>
      <c r="C63" s="1"/>
      <c r="D63" s="1">
        <v>5</v>
      </c>
      <c r="E63" s="1">
        <v>2</v>
      </c>
      <c r="F63" s="4" t="str">
        <f>'BID I'!B777</f>
        <v>Belanja Modal</v>
      </c>
      <c r="G63" s="1"/>
      <c r="H63" s="1"/>
      <c r="I63" s="91" t="e">
        <f>I62</f>
        <v>#REF!</v>
      </c>
      <c r="J63" s="1"/>
    </row>
    <row r="64" spans="1:11" ht="75" x14ac:dyDescent="0.25">
      <c r="A64" s="1027">
        <v>1</v>
      </c>
      <c r="B64" s="1027">
        <v>2</v>
      </c>
      <c r="C64" s="1491" t="s">
        <v>2694</v>
      </c>
      <c r="D64" s="1027"/>
      <c r="E64" s="1027"/>
      <c r="F64" s="1028" t="str">
        <f>'BID I'!B855</f>
        <v>Pemeliharaan/ Rehabilitasi/ Peningkatan Gedung/ Prasarana Kantor Desa (Perbaikan Plafont Toilet Latai 1)</v>
      </c>
      <c r="G64" s="1027"/>
      <c r="H64" s="1027"/>
      <c r="I64" s="1492">
        <f>Penjabaran!K171</f>
        <v>2619000</v>
      </c>
      <c r="J64" s="1027"/>
      <c r="K64" s="32">
        <f>'BID I'!F879</f>
        <v>2619000</v>
      </c>
    </row>
    <row r="65" spans="1:11" x14ac:dyDescent="0.25">
      <c r="A65" s="1"/>
      <c r="B65" s="1"/>
      <c r="C65" s="1"/>
      <c r="D65" s="1">
        <v>5</v>
      </c>
      <c r="E65" s="1">
        <v>3</v>
      </c>
      <c r="F65" s="4" t="str">
        <f>'BID I'!B862</f>
        <v>Belanja Modal</v>
      </c>
      <c r="G65" s="1"/>
      <c r="H65" s="1"/>
      <c r="I65" s="91">
        <f>I64</f>
        <v>2619000</v>
      </c>
      <c r="J65" s="1"/>
    </row>
    <row r="66" spans="1:11" ht="90" x14ac:dyDescent="0.25">
      <c r="A66" s="1027">
        <v>1</v>
      </c>
      <c r="B66" s="1027">
        <v>2</v>
      </c>
      <c r="C66" s="1491" t="s">
        <v>2694</v>
      </c>
      <c r="D66" s="1027"/>
      <c r="E66" s="1027"/>
      <c r="F66" s="1028" t="str">
        <f>'BID I'!B892</f>
        <v>Pemeliharaan/ Rehabilitasi/ Peningkatan Gedung/ Prasarana Kantor Desa (Perbaikan Plafont kamar mandi Lantai 2)</v>
      </c>
      <c r="G66" s="1027"/>
      <c r="H66" s="1027"/>
      <c r="I66" s="1492">
        <f>Penjabaran!K177</f>
        <v>5304000</v>
      </c>
      <c r="J66" s="1027"/>
      <c r="K66" s="32">
        <f>'BID I'!F916</f>
        <v>5304000</v>
      </c>
    </row>
    <row r="67" spans="1:11" x14ac:dyDescent="0.25">
      <c r="A67" s="1"/>
      <c r="B67" s="1"/>
      <c r="C67" s="1"/>
      <c r="D67" s="1">
        <v>5</v>
      </c>
      <c r="E67" s="1">
        <v>3</v>
      </c>
      <c r="F67" s="4" t="str">
        <f>'BID I'!B899</f>
        <v>Belanja Modal</v>
      </c>
      <c r="G67" s="1"/>
      <c r="H67" s="1"/>
      <c r="I67" s="91">
        <f>I66</f>
        <v>5304000</v>
      </c>
      <c r="J67" s="1"/>
    </row>
    <row r="68" spans="1:11" ht="75" x14ac:dyDescent="0.25">
      <c r="A68" s="1027">
        <v>1</v>
      </c>
      <c r="B68" s="1027">
        <v>2</v>
      </c>
      <c r="C68" s="1491" t="s">
        <v>2694</v>
      </c>
      <c r="D68" s="1027"/>
      <c r="E68" s="1027"/>
      <c r="F68" s="1028" t="str">
        <f>'BID I'!B929</f>
        <v>Pemeliharaan/ Rehabilitasi/ Peningkatan Gedung/ Prasarana Kantor Desa (Perbaikan Instalasi AC)</v>
      </c>
      <c r="G68" s="1027"/>
      <c r="H68" s="1027"/>
      <c r="I68" s="1492">
        <f>Penjabaran!K183</f>
        <v>11573900</v>
      </c>
      <c r="J68" s="1027" t="s">
        <v>1845</v>
      </c>
      <c r="K68" s="32">
        <f>'BID I'!F953</f>
        <v>11573900</v>
      </c>
    </row>
    <row r="69" spans="1:11" x14ac:dyDescent="0.25">
      <c r="A69" s="1"/>
      <c r="B69" s="1"/>
      <c r="C69" s="1"/>
      <c r="D69" s="1">
        <v>5</v>
      </c>
      <c r="E69" s="1">
        <v>3</v>
      </c>
      <c r="F69" s="4" t="str">
        <f>'BID I'!B936</f>
        <v>Belanja Modal</v>
      </c>
      <c r="G69" s="1"/>
      <c r="H69" s="1"/>
      <c r="I69" s="91">
        <f>I68</f>
        <v>11573900</v>
      </c>
      <c r="J69" s="1"/>
    </row>
    <row r="70" spans="1:11" ht="60" x14ac:dyDescent="0.25">
      <c r="A70" s="1027">
        <v>1</v>
      </c>
      <c r="B70" s="1027">
        <v>3</v>
      </c>
      <c r="C70" s="1027"/>
      <c r="D70" s="1027"/>
      <c r="E70" s="1027"/>
      <c r="F70" s="1028" t="str">
        <f>'BID I'!B995</f>
        <v>: Administrasi Kependudukan, Pencatatan Sipil, Statistik Dan Kearsipan</v>
      </c>
      <c r="G70" s="1027"/>
      <c r="H70" s="1027"/>
      <c r="I70" s="1492">
        <f>Penjabaran!K189</f>
        <v>0</v>
      </c>
      <c r="J70" s="1027"/>
    </row>
    <row r="71" spans="1:11" ht="75" x14ac:dyDescent="0.25">
      <c r="A71" s="1027">
        <v>1</v>
      </c>
      <c r="B71" s="1027">
        <v>3</v>
      </c>
      <c r="C71" s="1491" t="s">
        <v>2694</v>
      </c>
      <c r="D71" s="1027"/>
      <c r="E71" s="1027"/>
      <c r="F71" s="1028" t="str">
        <f>'BID I'!B996</f>
        <v>: Penyusunan/ Pendataan/Pemuktahiran Profil Desa (Profil Kependudukan dan potensi Desa )</v>
      </c>
      <c r="G71" s="1027"/>
      <c r="H71" s="1027"/>
      <c r="I71" s="1492">
        <f>Penjabaran!K190</f>
        <v>44906000</v>
      </c>
      <c r="J71" s="1027"/>
      <c r="K71" s="32">
        <f>'BID I'!F1035</f>
        <v>44906000</v>
      </c>
    </row>
    <row r="72" spans="1:11" x14ac:dyDescent="0.25">
      <c r="A72" s="1"/>
      <c r="B72" s="1"/>
      <c r="C72" s="1"/>
      <c r="D72" s="1">
        <v>5</v>
      </c>
      <c r="E72" s="1">
        <v>2</v>
      </c>
      <c r="F72" s="4" t="str">
        <f>'BID I'!B1003</f>
        <v>Belanja Barang Jasa</v>
      </c>
      <c r="G72" s="1"/>
      <c r="H72" s="1"/>
      <c r="I72" s="91">
        <f>I71</f>
        <v>44906000</v>
      </c>
      <c r="J72" s="1"/>
    </row>
    <row r="73" spans="1:11" ht="60" x14ac:dyDescent="0.25">
      <c r="A73" s="1027">
        <v>1</v>
      </c>
      <c r="B73" s="1027">
        <v>3</v>
      </c>
      <c r="C73" s="1491" t="s">
        <v>2694</v>
      </c>
      <c r="D73" s="1027"/>
      <c r="E73" s="1027"/>
      <c r="F73" s="1028" t="str">
        <f>'BID I'!B1049</f>
        <v>: Penyusunan/ Pendataan/Pemuktahiran Profil Desa (Pengkajian Tapal Batas Desa )</v>
      </c>
      <c r="G73" s="1027"/>
      <c r="H73" s="1027"/>
      <c r="I73" s="1492">
        <f>Penjabaran!K203</f>
        <v>16440000</v>
      </c>
      <c r="J73" s="1027"/>
      <c r="K73" s="32">
        <f>'BID I'!F1074</f>
        <v>16440000</v>
      </c>
    </row>
    <row r="74" spans="1:11" x14ac:dyDescent="0.25">
      <c r="A74" s="1"/>
      <c r="B74" s="1"/>
      <c r="C74" s="1"/>
      <c r="D74" s="1">
        <v>5</v>
      </c>
      <c r="E74" s="1">
        <v>2</v>
      </c>
      <c r="F74" s="4" t="str">
        <f>'BID I'!B1055</f>
        <v>Belanja Barang Jasa</v>
      </c>
      <c r="G74" s="1"/>
      <c r="H74" s="1"/>
      <c r="I74" s="91">
        <f>I73</f>
        <v>16440000</v>
      </c>
      <c r="J74" s="1"/>
    </row>
    <row r="75" spans="1:11" ht="75" x14ac:dyDescent="0.25">
      <c r="A75" s="1027">
        <v>1</v>
      </c>
      <c r="B75" s="1027">
        <v>3</v>
      </c>
      <c r="C75" s="1027">
        <v>90</v>
      </c>
      <c r="D75" s="1027"/>
      <c r="E75" s="1027"/>
      <c r="F75" s="1028" t="str">
        <f>'BID I'!B1090</f>
        <v>: Pengelolaan Administrasi dan Kearsipan pemerintahan Desa ( Pelatihan Kearsipan )</v>
      </c>
      <c r="G75" s="1027"/>
      <c r="H75" s="1027"/>
      <c r="I75" s="1492">
        <f>Penjabaran!K211</f>
        <v>900000</v>
      </c>
      <c r="J75" s="1027"/>
      <c r="K75" s="32">
        <f>'BID I'!F1112</f>
        <v>900000</v>
      </c>
    </row>
    <row r="76" spans="1:11" x14ac:dyDescent="0.25">
      <c r="A76" s="1"/>
      <c r="B76" s="1"/>
      <c r="C76" s="1"/>
      <c r="D76" s="1">
        <v>5</v>
      </c>
      <c r="E76" s="1">
        <v>2</v>
      </c>
      <c r="F76" s="4" t="str">
        <f>'BID I'!B1096</f>
        <v>Belanja Barang Jasa</v>
      </c>
      <c r="G76" s="1"/>
      <c r="H76" s="1"/>
      <c r="I76" s="91">
        <f>I75</f>
        <v>900000</v>
      </c>
      <c r="J76" s="1"/>
    </row>
    <row r="77" spans="1:11" ht="75" x14ac:dyDescent="0.25">
      <c r="A77" s="1027">
        <v>1</v>
      </c>
      <c r="B77" s="1027">
        <v>3</v>
      </c>
      <c r="C77" s="1027">
        <v>90</v>
      </c>
      <c r="D77" s="1027"/>
      <c r="E77" s="1027"/>
      <c r="F77" s="1028" t="str">
        <f>'BID I'!B1127</f>
        <v>: Pendataan Administrasi Penduduk Non Permanen (Penertiban Penduduk Pendatang dan Sidak Dialogis)</v>
      </c>
      <c r="G77" s="1027"/>
      <c r="H77" s="1027"/>
      <c r="I77" s="1492">
        <f>Penjabaran!K219</f>
        <v>37270000</v>
      </c>
      <c r="J77" s="1027"/>
      <c r="K77" s="32">
        <f>'BID I'!F1149</f>
        <v>37270000</v>
      </c>
    </row>
    <row r="78" spans="1:11" x14ac:dyDescent="0.25">
      <c r="A78" s="1"/>
      <c r="B78" s="1"/>
      <c r="C78" s="1"/>
      <c r="D78" s="1">
        <v>5</v>
      </c>
      <c r="E78" s="1">
        <v>2</v>
      </c>
      <c r="F78" s="4" t="str">
        <f>'BID I'!B1133</f>
        <v>Belanja Barang dan Jasa</v>
      </c>
      <c r="G78" s="1"/>
      <c r="H78" s="1"/>
      <c r="I78" s="91">
        <f>I77</f>
        <v>37270000</v>
      </c>
      <c r="J78" s="1"/>
    </row>
    <row r="79" spans="1:11" ht="60" x14ac:dyDescent="0.25">
      <c r="A79" s="1027">
        <v>1</v>
      </c>
      <c r="B79" s="1027">
        <v>4</v>
      </c>
      <c r="C79" s="1027">
        <v>1</v>
      </c>
      <c r="D79" s="1027"/>
      <c r="E79" s="1027"/>
      <c r="F79" s="1028" t="str">
        <f>'BID I'!B1165</f>
        <v>Penyelenggaraan Musyawarah Desa/ Pembahasan APBDes (Musrenbangdes)</v>
      </c>
      <c r="G79" s="1027"/>
      <c r="H79" s="1027"/>
      <c r="I79" s="1492">
        <f>Penjabaran!K226</f>
        <v>25700000</v>
      </c>
      <c r="J79" s="1027"/>
      <c r="K79" s="36">
        <f>'BID I'!F1192</f>
        <v>25700000</v>
      </c>
    </row>
    <row r="80" spans="1:11" x14ac:dyDescent="0.25">
      <c r="A80" s="1"/>
      <c r="B80" s="1"/>
      <c r="C80" s="1"/>
      <c r="D80" s="1">
        <v>5</v>
      </c>
      <c r="E80" s="1">
        <v>2</v>
      </c>
      <c r="F80" s="4" t="str">
        <f>'BID I'!B1171</f>
        <v>Belanja Barang Jasa</v>
      </c>
      <c r="G80" s="1"/>
      <c r="H80" s="1"/>
      <c r="I80" s="91">
        <f>I79</f>
        <v>25700000</v>
      </c>
      <c r="J80" s="1"/>
    </row>
    <row r="81" spans="1:11" ht="105" x14ac:dyDescent="0.25">
      <c r="A81" s="1027">
        <v>1</v>
      </c>
      <c r="B81" s="1027">
        <v>4</v>
      </c>
      <c r="C81" s="1491" t="s">
        <v>2679</v>
      </c>
      <c r="D81" s="1027"/>
      <c r="E81" s="1027"/>
      <c r="F81" s="1028" t="str">
        <f>'BID I'!B1208</f>
        <v>Penyelenggaraan Musyawarah Desa/ Pembahasan APBDes (Musdes, Musrenbangdes/pra musrenbangdes, dll yang bersifat reguler )</v>
      </c>
      <c r="G81" s="1027"/>
      <c r="H81" s="1027"/>
      <c r="I81" s="1492">
        <f>Penjabaran!K236</f>
        <v>41416000</v>
      </c>
      <c r="J81" s="1027"/>
      <c r="K81" s="36">
        <f>'BID I'!F1236</f>
        <v>41416000</v>
      </c>
    </row>
    <row r="82" spans="1:11" x14ac:dyDescent="0.25">
      <c r="A82" s="1"/>
      <c r="B82" s="1"/>
      <c r="C82" s="1"/>
      <c r="D82" s="1">
        <v>5</v>
      </c>
      <c r="E82" s="1">
        <v>2</v>
      </c>
      <c r="F82" s="4" t="str">
        <f>'BID I'!B1214</f>
        <v>Belanja Barang Jasa</v>
      </c>
      <c r="G82" s="1"/>
      <c r="H82" s="1"/>
      <c r="I82" s="91">
        <f>I81</f>
        <v>41416000</v>
      </c>
      <c r="J82" s="1"/>
    </row>
    <row r="83" spans="1:11" ht="60" x14ac:dyDescent="0.25">
      <c r="A83" s="1027">
        <v>1</v>
      </c>
      <c r="B83" s="1027">
        <v>4</v>
      </c>
      <c r="C83" s="1491" t="s">
        <v>2694</v>
      </c>
      <c r="D83" s="1027"/>
      <c r="E83" s="1027"/>
      <c r="F83" s="1028" t="str">
        <f>'BID I'!B1253</f>
        <v>: Penyelenggaraan Musyawarah Desa lainya (yang bersifat non reguler )</v>
      </c>
      <c r="G83" s="1027"/>
      <c r="H83" s="1027"/>
      <c r="I83" s="1492">
        <f>Penjabaran!K246</f>
        <v>24400000</v>
      </c>
      <c r="J83" s="1027"/>
      <c r="K83" s="36">
        <f>'BID I'!F1280</f>
        <v>24400000</v>
      </c>
    </row>
    <row r="84" spans="1:11" x14ac:dyDescent="0.25">
      <c r="A84" s="1"/>
      <c r="B84" s="1"/>
      <c r="C84" s="1"/>
      <c r="D84" s="1">
        <v>5</v>
      </c>
      <c r="E84" s="1">
        <v>2</v>
      </c>
      <c r="F84" s="4" t="str">
        <f>'BID I'!B1259</f>
        <v>Belanja Barang Jasa</v>
      </c>
      <c r="G84" s="1"/>
      <c r="H84" s="1"/>
      <c r="I84" s="91">
        <f>Penjabaran!K247</f>
        <v>0</v>
      </c>
      <c r="J84" s="1"/>
    </row>
    <row r="85" spans="1:11" ht="45" x14ac:dyDescent="0.25">
      <c r="A85" s="1027">
        <v>1</v>
      </c>
      <c r="B85" s="1027">
        <v>4</v>
      </c>
      <c r="C85" s="1491" t="s">
        <v>2696</v>
      </c>
      <c r="D85" s="1027"/>
      <c r="E85" s="1027"/>
      <c r="F85" s="1028" t="str">
        <f>'BID I'!B1294</f>
        <v>Penyusunan Dokumen Perencanaan Desa (RKP Desa 2026)</v>
      </c>
      <c r="G85" s="1027"/>
      <c r="H85" s="1027"/>
      <c r="I85" s="1492">
        <f>Penjabaran!K256</f>
        <v>25930000</v>
      </c>
      <c r="J85" s="1027"/>
      <c r="K85" s="36">
        <f>'BID I'!F1320</f>
        <v>25930000</v>
      </c>
    </row>
    <row r="86" spans="1:11" x14ac:dyDescent="0.25">
      <c r="A86" s="1"/>
      <c r="B86" s="1"/>
      <c r="C86" s="1"/>
      <c r="D86" s="1">
        <v>5</v>
      </c>
      <c r="E86" s="1">
        <v>2</v>
      </c>
      <c r="F86" s="4" t="str">
        <f>'BID I'!B1300</f>
        <v>Belanja Barang Jasa</v>
      </c>
      <c r="G86" s="1"/>
      <c r="H86" s="1"/>
      <c r="I86" s="91">
        <f>I85</f>
        <v>25930000</v>
      </c>
      <c r="J86" s="1"/>
    </row>
    <row r="87" spans="1:11" ht="45" x14ac:dyDescent="0.25">
      <c r="A87" s="1027">
        <v>1</v>
      </c>
      <c r="B87" s="1027">
        <v>4</v>
      </c>
      <c r="C87" s="1491" t="s">
        <v>2696</v>
      </c>
      <c r="D87" s="1027"/>
      <c r="E87" s="1027"/>
      <c r="F87" s="1028" t="str">
        <f>'BID I'!B1333</f>
        <v>Penyusunan Dokumen Perencanaan Desa (RPJM Perubahan)</v>
      </c>
      <c r="G87" s="1027"/>
      <c r="H87" s="1027"/>
      <c r="I87" s="1492">
        <f>Penjabaran!K263</f>
        <v>28770000</v>
      </c>
      <c r="J87" s="1027"/>
      <c r="K87" s="36">
        <f>'BID I'!F1354</f>
        <v>28770000</v>
      </c>
    </row>
    <row r="88" spans="1:11" x14ac:dyDescent="0.25">
      <c r="A88" s="1"/>
      <c r="B88" s="1"/>
      <c r="C88" s="1"/>
      <c r="D88" s="1">
        <v>5</v>
      </c>
      <c r="E88" s="1">
        <v>2</v>
      </c>
      <c r="F88" s="4" t="str">
        <f>'BID I'!B1339</f>
        <v>Belanja Barang Jasa</v>
      </c>
      <c r="G88" s="1"/>
      <c r="H88" s="1"/>
      <c r="I88" s="91">
        <f>I87</f>
        <v>28770000</v>
      </c>
      <c r="J88" s="1"/>
    </row>
    <row r="89" spans="1:11" ht="45" x14ac:dyDescent="0.25">
      <c r="A89" s="1027">
        <v>1</v>
      </c>
      <c r="B89" s="1027">
        <v>4</v>
      </c>
      <c r="C89" s="1491" t="s">
        <v>2697</v>
      </c>
      <c r="D89" s="1027"/>
      <c r="E89" s="1027"/>
      <c r="F89" s="1028" t="str">
        <f>'BID I'!B1369</f>
        <v>: Penyusunan dokumen keuangan Desa (APBDesa 2026 )</v>
      </c>
      <c r="G89" s="1027"/>
      <c r="H89" s="1027"/>
      <c r="I89" s="1492">
        <f>Penjabaran!K270</f>
        <v>5175000</v>
      </c>
      <c r="J89" s="1027"/>
      <c r="K89" s="36">
        <f>'BID I'!F1384</f>
        <v>5175000</v>
      </c>
    </row>
    <row r="90" spans="1:11" x14ac:dyDescent="0.25">
      <c r="A90" s="1"/>
      <c r="B90" s="1"/>
      <c r="C90" s="1"/>
      <c r="D90" s="1">
        <v>5</v>
      </c>
      <c r="E90" s="1">
        <v>2</v>
      </c>
      <c r="F90" s="4" t="str">
        <f>'BID I'!B1375</f>
        <v>Belanja Barang Jasa :</v>
      </c>
      <c r="G90" s="1"/>
      <c r="H90" s="1"/>
      <c r="I90" s="91">
        <f>I89</f>
        <v>5175000</v>
      </c>
      <c r="J90" s="1"/>
    </row>
    <row r="91" spans="1:11" ht="45" x14ac:dyDescent="0.25">
      <c r="A91" s="1027">
        <v>1</v>
      </c>
      <c r="B91" s="1027">
        <v>4</v>
      </c>
      <c r="C91" s="1491" t="s">
        <v>2697</v>
      </c>
      <c r="D91" s="1027"/>
      <c r="E91" s="1027"/>
      <c r="F91" s="1028" t="str">
        <f>'BID I'!B1400</f>
        <v>: Penyusunan dokumen keuangan Desa (APBDesa Perubahan 2025)</v>
      </c>
      <c r="G91" s="1027"/>
      <c r="H91" s="1027"/>
      <c r="I91" s="1492">
        <f>Penjabaran!K275</f>
        <v>4805000</v>
      </c>
      <c r="J91" s="1027"/>
      <c r="K91" s="36">
        <f>'BID I'!F1415</f>
        <v>4805000</v>
      </c>
    </row>
    <row r="92" spans="1:11" x14ac:dyDescent="0.25">
      <c r="A92" s="1"/>
      <c r="B92" s="1"/>
      <c r="C92" s="1"/>
      <c r="D92" s="1">
        <v>5</v>
      </c>
      <c r="E92" s="1">
        <v>2</v>
      </c>
      <c r="F92" s="4" t="str">
        <f>'BID I'!B1406</f>
        <v>Belanja Barang Jasa :</v>
      </c>
      <c r="G92" s="1"/>
      <c r="H92" s="1"/>
      <c r="I92" s="91">
        <f>I91</f>
        <v>4805000</v>
      </c>
      <c r="J92" s="1"/>
    </row>
    <row r="93" spans="1:11" ht="45" x14ac:dyDescent="0.25">
      <c r="A93" s="1027">
        <v>1</v>
      </c>
      <c r="B93" s="1027">
        <v>4</v>
      </c>
      <c r="C93" s="1491" t="s">
        <v>2697</v>
      </c>
      <c r="D93" s="1027"/>
      <c r="E93" s="1027"/>
      <c r="F93" s="1028" t="str">
        <f>'BID I'!B1430</f>
        <v>: Penyusunan dokumen keuangan Desa ( LPJ APBDesa 2024)</v>
      </c>
      <c r="G93" s="1027"/>
      <c r="H93" s="1027"/>
      <c r="I93" s="1492">
        <f>Penjabaran!K280</f>
        <v>1575000</v>
      </c>
      <c r="J93" s="1027"/>
      <c r="K93" s="32">
        <f>'BID I'!F1442</f>
        <v>1575000</v>
      </c>
    </row>
    <row r="94" spans="1:11" x14ac:dyDescent="0.25">
      <c r="A94" s="1"/>
      <c r="B94" s="1"/>
      <c r="C94" s="1"/>
      <c r="D94" s="1">
        <v>5</v>
      </c>
      <c r="E94" s="1">
        <v>2</v>
      </c>
      <c r="F94" s="4" t="str">
        <f>'BID I'!B1436</f>
        <v>Belanja Barang Jasa :</v>
      </c>
      <c r="G94" s="1"/>
      <c r="H94" s="1"/>
      <c r="I94" s="91">
        <f>I93</f>
        <v>1575000</v>
      </c>
      <c r="J94" s="1"/>
    </row>
    <row r="95" spans="1:11" ht="90" x14ac:dyDescent="0.25">
      <c r="A95" s="1027">
        <v>1</v>
      </c>
      <c r="B95" s="1027">
        <v>4</v>
      </c>
      <c r="C95" s="1491" t="s">
        <v>2697</v>
      </c>
      <c r="D95" s="1027"/>
      <c r="E95" s="1027"/>
      <c r="F95" s="1028" t="str">
        <f>'BID I'!B1458</f>
        <v>: Penyusunan laporan Kepala Desa/ Penyelenggaraan Pemerintah Desa (Laporan akhir tahun anggaran )</v>
      </c>
      <c r="G95" s="1027"/>
      <c r="H95" s="1027"/>
      <c r="I95" s="1492">
        <f>Penjabaran!K284</f>
        <v>1500000</v>
      </c>
      <c r="J95" s="1027"/>
      <c r="K95" s="36">
        <f>'BID I'!F1470</f>
        <v>1500000</v>
      </c>
    </row>
    <row r="96" spans="1:11" x14ac:dyDescent="0.25">
      <c r="A96" s="1"/>
      <c r="B96" s="1"/>
      <c r="C96" s="1"/>
      <c r="D96" s="1">
        <v>5</v>
      </c>
      <c r="E96" s="1">
        <v>2</v>
      </c>
      <c r="F96" s="4" t="str">
        <f>'BID I'!B1464</f>
        <v>Belanja Barang Jasa :</v>
      </c>
      <c r="G96" s="1"/>
      <c r="H96" s="1"/>
      <c r="I96" s="91">
        <f>I95</f>
        <v>1500000</v>
      </c>
      <c r="J96" s="1"/>
    </row>
    <row r="97" spans="1:12" ht="30" x14ac:dyDescent="0.25">
      <c r="A97" s="1489">
        <v>2</v>
      </c>
      <c r="B97" s="1489"/>
      <c r="C97" s="1489"/>
      <c r="D97" s="1489"/>
      <c r="E97" s="1489"/>
      <c r="F97" s="1490" t="str">
        <f>'BID II'!B5</f>
        <v>Pelaksanaan Pembangunan Desa</v>
      </c>
      <c r="G97" s="1489"/>
      <c r="H97" s="1489"/>
      <c r="I97" s="1495" t="e">
        <f>Penjabaran!K288</f>
        <v>#REF!</v>
      </c>
      <c r="J97" s="1489"/>
      <c r="K97" s="83">
        <f>Htungan!Y9</f>
        <v>3749461692.0700002</v>
      </c>
      <c r="L97" s="32" t="e">
        <f>I97-K97</f>
        <v>#REF!</v>
      </c>
    </row>
    <row r="98" spans="1:12" x14ac:dyDescent="0.25">
      <c r="A98" s="1027">
        <v>2</v>
      </c>
      <c r="B98" s="1027">
        <v>1</v>
      </c>
      <c r="C98" s="1027"/>
      <c r="D98" s="1027"/>
      <c r="E98" s="1027"/>
      <c r="F98" s="1028" t="str">
        <f>'BID II'!B6</f>
        <v>Pendidikan</v>
      </c>
      <c r="G98" s="1027"/>
      <c r="H98" s="1027"/>
      <c r="I98" s="1492"/>
      <c r="J98" s="1027"/>
      <c r="K98" s="32"/>
    </row>
    <row r="99" spans="1:12" ht="90" x14ac:dyDescent="0.25">
      <c r="A99" s="1027">
        <v>2</v>
      </c>
      <c r="B99" s="1027">
        <v>1</v>
      </c>
      <c r="C99" s="1491" t="s">
        <v>2679</v>
      </c>
      <c r="D99" s="1027"/>
      <c r="E99" s="1027"/>
      <c r="F99" s="1028" t="str">
        <f>'BID II'!B7</f>
        <v>Penyelenggaraan PAUD/TK/TKA/ Madrasah Non Formal Milik Desa (Pengelolaan Taman Kanak - kanak  TK Kumara Sari VI )</v>
      </c>
      <c r="G99" s="1027"/>
      <c r="H99" s="1027"/>
      <c r="I99" s="1492">
        <f>Penjabaran!K290</f>
        <v>345561246.18000001</v>
      </c>
      <c r="J99" s="1027"/>
      <c r="K99" s="83">
        <f>'BID II'!F157</f>
        <v>345561246.18000001</v>
      </c>
    </row>
    <row r="100" spans="1:12" x14ac:dyDescent="0.25">
      <c r="A100" s="1"/>
      <c r="B100" s="1"/>
      <c r="C100" s="1"/>
      <c r="D100" s="1">
        <v>5</v>
      </c>
      <c r="E100" s="1">
        <v>2</v>
      </c>
      <c r="F100" s="4" t="str">
        <f>'BID II'!B12</f>
        <v>Belanja Barang Jasa :</v>
      </c>
      <c r="G100" s="1"/>
      <c r="H100" s="1"/>
      <c r="I100" s="91">
        <f>I99</f>
        <v>345561246.18000001</v>
      </c>
      <c r="J100" s="1"/>
    </row>
    <row r="101" spans="1:12" ht="90" x14ac:dyDescent="0.25">
      <c r="A101" s="1027">
        <v>2</v>
      </c>
      <c r="B101" s="1027">
        <v>1</v>
      </c>
      <c r="C101" s="1491" t="s">
        <v>2696</v>
      </c>
      <c r="D101" s="1027"/>
      <c r="E101" s="1027"/>
      <c r="F101" s="1028" t="str">
        <f>'BID II'!B170</f>
        <v>: Pembinaan atau Pelatihan Kelompok Belajar Widya Kumara Bhuwana ( Pelatihan Bahasa dan Aksara Bali Untuk Anak-Anak SD )</v>
      </c>
      <c r="G101" s="1027"/>
      <c r="H101" s="1027"/>
      <c r="I101" s="1492">
        <f>Penjabaran!K316</f>
        <v>11881687.09</v>
      </c>
      <c r="J101" s="1027"/>
      <c r="K101" s="32">
        <f>'BID II'!F195</f>
        <v>14608687.09</v>
      </c>
    </row>
    <row r="102" spans="1:12" x14ac:dyDescent="0.25">
      <c r="A102" s="1"/>
      <c r="B102" s="1"/>
      <c r="C102" s="1"/>
      <c r="D102" s="1">
        <v>5</v>
      </c>
      <c r="E102" s="1">
        <v>2</v>
      </c>
      <c r="F102" s="4" t="str">
        <f>'BID II'!B177</f>
        <v>Belanja Barang Jasa</v>
      </c>
      <c r="G102" s="1"/>
      <c r="H102" s="1"/>
      <c r="I102" s="91">
        <f>I101</f>
        <v>11881687.09</v>
      </c>
      <c r="J102" s="1"/>
    </row>
    <row r="103" spans="1:12" ht="60" x14ac:dyDescent="0.25">
      <c r="A103" s="1027">
        <v>2</v>
      </c>
      <c r="B103" s="1027">
        <v>1</v>
      </c>
      <c r="C103" s="1491" t="s">
        <v>2699</v>
      </c>
      <c r="D103" s="1027"/>
      <c r="E103" s="1027"/>
      <c r="F103" s="1028" t="str">
        <f>'BID II'!B286</f>
        <v>Pemeliharaan Sarana dan Prasarana TK Milik Desa (Paranet Tempat Bermain)</v>
      </c>
      <c r="G103" s="1027"/>
      <c r="H103" s="1027"/>
      <c r="I103" s="1492">
        <f>Penjabaran!K324</f>
        <v>19811741</v>
      </c>
      <c r="J103" s="1027"/>
      <c r="K103" s="32">
        <f>'BID II'!F309</f>
        <v>19811741</v>
      </c>
    </row>
    <row r="104" spans="1:12" x14ac:dyDescent="0.25">
      <c r="A104" s="1"/>
      <c r="B104" s="1"/>
      <c r="C104" s="1"/>
      <c r="D104" s="1">
        <v>5</v>
      </c>
      <c r="E104" s="1">
        <v>3</v>
      </c>
      <c r="F104" s="4" t="str">
        <f>'BID II'!B293</f>
        <v>Belanja Modal</v>
      </c>
      <c r="G104" s="1"/>
      <c r="H104" s="1"/>
      <c r="I104" s="91">
        <f>I103</f>
        <v>19811741</v>
      </c>
      <c r="J104" s="1"/>
    </row>
    <row r="105" spans="1:12" ht="105" x14ac:dyDescent="0.25">
      <c r="A105" s="1027">
        <v>2</v>
      </c>
      <c r="B105" s="1027">
        <v>1</v>
      </c>
      <c r="C105" s="1491" t="s">
        <v>2701</v>
      </c>
      <c r="D105" s="1027"/>
      <c r="E105" s="1027"/>
      <c r="F105" s="1028" t="str">
        <f>'BID II'!B322</f>
        <v>:Peningkatan Sarana Prasarana Perpustakaan/Taman Bacaan Desa/ Sanggar Belajar Milik Desa (Perpustakaan Digital dan keliling)</v>
      </c>
      <c r="G105" s="1027"/>
      <c r="H105" s="1027"/>
      <c r="I105" s="1492" t="e">
        <f>Penjabaran!K330</f>
        <v>#REF!</v>
      </c>
      <c r="J105" s="1028" t="s">
        <v>2568</v>
      </c>
      <c r="K105" s="32">
        <f>'BID II'!F344</f>
        <v>21000000</v>
      </c>
    </row>
    <row r="106" spans="1:12" x14ac:dyDescent="0.25">
      <c r="A106" s="1"/>
      <c r="B106" s="1"/>
      <c r="C106" s="1"/>
      <c r="D106" s="1">
        <v>5</v>
      </c>
      <c r="E106" s="1">
        <v>2</v>
      </c>
      <c r="F106" s="4" t="str">
        <f>'BID II'!B329</f>
        <v>Belanja Barang Jasa</v>
      </c>
      <c r="G106" s="1"/>
      <c r="H106" s="1"/>
      <c r="I106" s="91" t="e">
        <f>I105</f>
        <v>#REF!</v>
      </c>
      <c r="J106" s="1"/>
    </row>
    <row r="107" spans="1:12" ht="45" x14ac:dyDescent="0.25">
      <c r="A107" s="1027">
        <v>2</v>
      </c>
      <c r="B107" s="1027">
        <v>2</v>
      </c>
      <c r="C107" s="1491" t="s">
        <v>2694</v>
      </c>
      <c r="D107" s="1027"/>
      <c r="E107" s="1027"/>
      <c r="F107" s="1028" t="str">
        <f>'BID II'!B357</f>
        <v>: Penyelenggaraan Posyandu (Pemberian PMT)</v>
      </c>
      <c r="G107" s="1027"/>
      <c r="H107" s="1027"/>
      <c r="I107" s="1492" t="e">
        <f>Penjabaran!K337</f>
        <v>#REF!</v>
      </c>
      <c r="J107" s="1027"/>
      <c r="K107" s="32">
        <f>'BID II'!F394</f>
        <v>387855500</v>
      </c>
    </row>
    <row r="108" spans="1:12" x14ac:dyDescent="0.25">
      <c r="A108" s="1"/>
      <c r="B108" s="1"/>
      <c r="C108" s="1"/>
      <c r="D108" s="1">
        <v>5</v>
      </c>
      <c r="E108" s="1">
        <v>2</v>
      </c>
      <c r="F108" s="4" t="str">
        <f>'BID II'!B362</f>
        <v>Belanja Barang dan Jasa</v>
      </c>
      <c r="G108" s="1"/>
      <c r="H108" s="1"/>
      <c r="I108" s="91" t="e">
        <f>I107</f>
        <v>#REF!</v>
      </c>
      <c r="J108" s="1"/>
    </row>
    <row r="109" spans="1:12" ht="45" x14ac:dyDescent="0.25">
      <c r="A109" s="1027">
        <v>2</v>
      </c>
      <c r="B109" s="1027">
        <v>2</v>
      </c>
      <c r="C109" s="1491" t="s">
        <v>2694</v>
      </c>
      <c r="D109" s="1027"/>
      <c r="E109" s="1027"/>
      <c r="F109" s="1028" t="str">
        <f>'BID II'!B408</f>
        <v>: Penyelenggaraan POSyandu (Pos Gizi dan Ibu Hamil)</v>
      </c>
      <c r="G109" s="1027"/>
      <c r="H109" s="1027"/>
      <c r="I109" s="1492">
        <f>Penjabaran!K347</f>
        <v>3030000</v>
      </c>
      <c r="J109" s="1027"/>
      <c r="K109" s="32">
        <f>'BID II'!F434</f>
        <v>3030000</v>
      </c>
    </row>
    <row r="110" spans="1:12" x14ac:dyDescent="0.25">
      <c r="A110" s="1"/>
      <c r="B110" s="1"/>
      <c r="C110" s="1"/>
      <c r="D110" s="1">
        <v>5</v>
      </c>
      <c r="E110" s="1">
        <v>2</v>
      </c>
      <c r="F110" s="4" t="str">
        <f>'BID II'!B415</f>
        <v>Belanja Barang Jasa</v>
      </c>
      <c r="G110" s="1"/>
      <c r="H110" s="1"/>
      <c r="I110" s="91">
        <f>I109</f>
        <v>3030000</v>
      </c>
      <c r="J110" s="1"/>
    </row>
    <row r="111" spans="1:12" ht="75" x14ac:dyDescent="0.25">
      <c r="A111" s="1027">
        <v>2</v>
      </c>
      <c r="B111" s="1027">
        <v>2</v>
      </c>
      <c r="C111" s="1491" t="s">
        <v>2696</v>
      </c>
      <c r="D111" s="1027"/>
      <c r="E111" s="1027"/>
      <c r="F111" s="1028" t="str">
        <f>'BID II'!B449</f>
        <v>: Penyuluhan dan Pelatihan Bidang Kesehatan (Pemberian tambahan nutrisi bagi lansia)</v>
      </c>
      <c r="G111" s="1027"/>
      <c r="H111" s="1027"/>
      <c r="I111" s="1492">
        <f>Penjabaran!K355</f>
        <v>280876500</v>
      </c>
      <c r="J111" s="1027"/>
      <c r="K111" s="83">
        <f>'BID II'!F502</f>
        <v>375241500</v>
      </c>
    </row>
    <row r="112" spans="1:12" x14ac:dyDescent="0.25">
      <c r="A112" s="1"/>
      <c r="B112" s="1"/>
      <c r="C112" s="1"/>
      <c r="D112" s="1">
        <v>5</v>
      </c>
      <c r="E112" s="1">
        <v>2</v>
      </c>
      <c r="F112" s="4" t="str">
        <f>'BID II'!B455</f>
        <v xml:space="preserve">Belanja Barang dan Jasa </v>
      </c>
      <c r="G112" s="1"/>
      <c r="H112" s="1"/>
      <c r="I112" s="91">
        <f>I111</f>
        <v>280876500</v>
      </c>
      <c r="J112" s="1"/>
      <c r="K112" s="32">
        <f>I111-K111</f>
        <v>-94365000</v>
      </c>
    </row>
    <row r="113" spans="1:11" ht="30" x14ac:dyDescent="0.25">
      <c r="A113" s="1027">
        <v>2</v>
      </c>
      <c r="B113" s="1027">
        <v>2</v>
      </c>
      <c r="C113" s="1491" t="s">
        <v>2696</v>
      </c>
      <c r="D113" s="1027"/>
      <c r="E113" s="1027"/>
      <c r="F113" s="1028" t="str">
        <f>'BID II'!B522</f>
        <v>Pendampingan Calon Pengantin</v>
      </c>
      <c r="G113" s="1027"/>
      <c r="H113" s="1027"/>
      <c r="I113" s="1492">
        <f>Penjabaran!K370</f>
        <v>12422000</v>
      </c>
      <c r="J113" s="1027"/>
      <c r="K113" s="32">
        <f>'BID II'!F545</f>
        <v>12422000</v>
      </c>
    </row>
    <row r="114" spans="1:11" x14ac:dyDescent="0.25">
      <c r="A114" s="1"/>
      <c r="B114" s="1"/>
      <c r="C114" s="1"/>
      <c r="D114" s="1">
        <v>5</v>
      </c>
      <c r="E114" s="1">
        <v>2</v>
      </c>
      <c r="F114" s="4" t="str">
        <f>'BID II'!B523</f>
        <v>Belanja Barang Jasa</v>
      </c>
      <c r="G114" s="1"/>
      <c r="H114" s="1"/>
      <c r="I114" s="91">
        <f>I113</f>
        <v>12422000</v>
      </c>
      <c r="J114" s="1"/>
    </row>
    <row r="115" spans="1:11" ht="90" x14ac:dyDescent="0.25">
      <c r="A115" s="1027">
        <v>2</v>
      </c>
      <c r="B115" s="1027">
        <v>2</v>
      </c>
      <c r="C115" s="1491" t="s">
        <v>2696</v>
      </c>
      <c r="D115" s="1027"/>
      <c r="E115" s="1027"/>
      <c r="F115" s="1028" t="str">
        <f>'BID II'!B558</f>
        <v>: Penyuluhan dan Pelatihan Bidang Kesehatan untuk Masyarakat (Pembinaan Kampung Keluarga Berkualitas)</v>
      </c>
      <c r="G115" s="1027"/>
      <c r="H115" s="1027"/>
      <c r="I115" s="1492">
        <f>Penjabaran!K379</f>
        <v>2543600</v>
      </c>
      <c r="J115" s="1027"/>
      <c r="K115" s="83">
        <f>'BID II'!F584</f>
        <v>2543600</v>
      </c>
    </row>
    <row r="116" spans="1:11" x14ac:dyDescent="0.25">
      <c r="A116" s="1"/>
      <c r="B116" s="1"/>
      <c r="C116" s="1"/>
      <c r="D116" s="1">
        <v>5</v>
      </c>
      <c r="E116" s="1">
        <v>2</v>
      </c>
      <c r="F116" s="4" t="str">
        <f>'BID II'!B564</f>
        <v>Belanja Barang Jasa</v>
      </c>
      <c r="G116" s="1"/>
      <c r="H116" s="1"/>
      <c r="I116" s="91">
        <f>I115</f>
        <v>2543600</v>
      </c>
      <c r="J116" s="1"/>
    </row>
    <row r="117" spans="1:11" ht="45" x14ac:dyDescent="0.25">
      <c r="A117" s="1027">
        <v>2</v>
      </c>
      <c r="B117" s="1027">
        <v>5</v>
      </c>
      <c r="C117" s="1491" t="s">
        <v>2696</v>
      </c>
      <c r="D117" s="1027"/>
      <c r="E117" s="1027"/>
      <c r="F117" s="1028" t="str">
        <f>'BID II'!B597</f>
        <v>Penyuluhan dan Pelatihan Bidang Kesehatan (PHBS)</v>
      </c>
      <c r="G117" s="1027"/>
      <c r="H117" s="1027"/>
      <c r="I117" s="1492">
        <f>Penjabaran!K387</f>
        <v>15180000</v>
      </c>
      <c r="J117" s="1027"/>
      <c r="K117" s="36">
        <f>'BID II'!F626</f>
        <v>15180000</v>
      </c>
    </row>
    <row r="118" spans="1:11" x14ac:dyDescent="0.25">
      <c r="A118" s="1"/>
      <c r="B118" s="1"/>
      <c r="C118" s="1"/>
      <c r="D118" s="1">
        <v>5</v>
      </c>
      <c r="E118" s="1">
        <v>2</v>
      </c>
      <c r="F118" s="1" t="str">
        <f>'BID II'!B603</f>
        <v>Belanja Barang Jasa :</v>
      </c>
      <c r="G118" s="1"/>
      <c r="H118" s="1"/>
      <c r="I118" s="91">
        <f>I117</f>
        <v>15180000</v>
      </c>
      <c r="J118" s="1"/>
      <c r="K118" s="32">
        <f>I117-K117</f>
        <v>0</v>
      </c>
    </row>
    <row r="119" spans="1:11" ht="75" x14ac:dyDescent="0.25">
      <c r="A119" s="1027">
        <v>2</v>
      </c>
      <c r="B119" s="1027">
        <v>2</v>
      </c>
      <c r="C119" s="1491" t="s">
        <v>2696</v>
      </c>
      <c r="D119" s="1027"/>
      <c r="E119" s="1027"/>
      <c r="F119" s="1028" t="str">
        <f>'BID II'!B639</f>
        <v>: Penyuluhan dan Pelatihan Bidang Kesehatan (Pembinaan Kader POSyandu terintegrasi/ILP)</v>
      </c>
      <c r="G119" s="1027"/>
      <c r="H119" s="1027"/>
      <c r="I119" s="1492" t="e">
        <f>Penjabaran!K398</f>
        <v>#REF!</v>
      </c>
      <c r="J119" s="1027"/>
      <c r="K119" s="83">
        <f>'BID II'!F666</f>
        <v>68234000</v>
      </c>
    </row>
    <row r="120" spans="1:11" x14ac:dyDescent="0.25">
      <c r="A120" s="1"/>
      <c r="B120" s="1"/>
      <c r="C120" s="1"/>
      <c r="D120" s="1">
        <v>5</v>
      </c>
      <c r="E120" s="1">
        <v>2</v>
      </c>
      <c r="F120" s="4" t="str">
        <f>'BID II'!B644</f>
        <v>Belanja Barang dan Jasa</v>
      </c>
      <c r="G120" s="1"/>
      <c r="H120" s="1"/>
      <c r="I120" s="91" t="e">
        <f>I119</f>
        <v>#REF!</v>
      </c>
      <c r="J120" s="1"/>
    </row>
    <row r="121" spans="1:11" ht="60" x14ac:dyDescent="0.25">
      <c r="A121" s="1027">
        <v>2</v>
      </c>
      <c r="B121" s="1027">
        <v>2</v>
      </c>
      <c r="C121" s="1491" t="s">
        <v>2696</v>
      </c>
      <c r="D121" s="1027"/>
      <c r="E121" s="1027"/>
      <c r="F121" s="1028" t="str">
        <f>'BID II'!B678</f>
        <v>: Penyuluhan dan Pelatihan Bidang Kesehatan (Penyuluhan Narkoba dan HIV/AIDS)</v>
      </c>
      <c r="G121" s="1027"/>
      <c r="H121" s="1027"/>
      <c r="I121" s="1492">
        <f>Penjabaran!K407</f>
        <v>15680000</v>
      </c>
      <c r="J121" s="1027"/>
      <c r="K121" s="32">
        <f>I121-'BID II'!F714</f>
        <v>-1500000</v>
      </c>
    </row>
    <row r="122" spans="1:11" x14ac:dyDescent="0.25">
      <c r="A122" s="1"/>
      <c r="B122" s="1"/>
      <c r="C122" s="1"/>
      <c r="D122" s="1">
        <v>5</v>
      </c>
      <c r="E122" s="1">
        <v>1</v>
      </c>
      <c r="F122" s="1" t="str">
        <f>'BID II'!B684</f>
        <v>Belanja Barang Jasa</v>
      </c>
      <c r="G122" s="1"/>
      <c r="H122" s="1"/>
      <c r="I122" s="91">
        <f>I121</f>
        <v>15680000</v>
      </c>
      <c r="J122" s="1"/>
    </row>
    <row r="123" spans="1:11" ht="45" x14ac:dyDescent="0.25">
      <c r="A123" s="1027">
        <v>2</v>
      </c>
      <c r="B123" s="1027">
        <v>2</v>
      </c>
      <c r="C123" s="1491" t="s">
        <v>2696</v>
      </c>
      <c r="D123" s="1027"/>
      <c r="E123" s="1027"/>
      <c r="F123" s="1028" t="str">
        <f>'BID II'!B729</f>
        <v>: Penyuluhan dan Pelatihan Bidang Kesehatan (Posbindu)</v>
      </c>
      <c r="G123" s="1027"/>
      <c r="H123" s="1027"/>
      <c r="I123" s="1492" t="e">
        <f>Penjabaran!K418</f>
        <v>#REF!</v>
      </c>
      <c r="J123" s="1027"/>
      <c r="K123" s="83">
        <f>'BID II'!F748</f>
        <v>14370000</v>
      </c>
    </row>
    <row r="124" spans="1:11" x14ac:dyDescent="0.25">
      <c r="A124" s="1"/>
      <c r="B124" s="1"/>
      <c r="C124" s="1"/>
      <c r="D124" s="1">
        <v>5</v>
      </c>
      <c r="E124" s="1">
        <v>2</v>
      </c>
      <c r="F124" s="4" t="e">
        <f>'BID II'!#REF!</f>
        <v>#REF!</v>
      </c>
      <c r="G124" s="1"/>
      <c r="H124" s="1"/>
      <c r="I124" s="91" t="e">
        <f>I123</f>
        <v>#REF!</v>
      </c>
      <c r="J124" s="1"/>
    </row>
    <row r="125" spans="1:11" ht="60" x14ac:dyDescent="0.25">
      <c r="A125" s="1027">
        <v>2</v>
      </c>
      <c r="B125" s="1027">
        <v>2</v>
      </c>
      <c r="C125" s="1491" t="s">
        <v>2696</v>
      </c>
      <c r="D125" s="1027"/>
      <c r="E125" s="1027"/>
      <c r="F125" s="1028" t="str">
        <f>'BID II'!B762</f>
        <v>: Penyuluhan dan Pelatihan Bidang Kesehatan ( Penyuluhan KB )</v>
      </c>
      <c r="G125" s="1027"/>
      <c r="H125" s="1027"/>
      <c r="I125" s="1492">
        <f>Penjabaran!K429</f>
        <v>17990000</v>
      </c>
      <c r="J125" s="1027"/>
      <c r="K125" s="32">
        <f>'BID II'!F791</f>
        <v>17990000</v>
      </c>
    </row>
    <row r="126" spans="1:11" x14ac:dyDescent="0.25">
      <c r="A126" s="1"/>
      <c r="B126" s="1"/>
      <c r="C126" s="1"/>
      <c r="D126" s="1">
        <v>5</v>
      </c>
      <c r="E126" s="1">
        <v>2</v>
      </c>
      <c r="F126" s="4" t="str">
        <f>'BID II'!B768</f>
        <v>Belanja Barang Jasa</v>
      </c>
      <c r="G126" s="1"/>
      <c r="H126" s="1"/>
      <c r="I126" s="91">
        <f>I125</f>
        <v>17990000</v>
      </c>
      <c r="J126" s="1"/>
    </row>
    <row r="127" spans="1:11" ht="60" x14ac:dyDescent="0.25">
      <c r="A127" s="1027">
        <v>2</v>
      </c>
      <c r="B127" s="1027">
        <v>2</v>
      </c>
      <c r="C127" s="1491" t="s">
        <v>2696</v>
      </c>
      <c r="D127" s="1027"/>
      <c r="E127" s="1027"/>
      <c r="F127" s="1028" t="str">
        <f>'BID II'!B805</f>
        <v>: Penyuluhan dan Pelatihan Bidang Kesehatan(Sosialisasi Germas)</v>
      </c>
      <c r="G127" s="1027"/>
      <c r="H127" s="1027"/>
      <c r="I127" s="1492">
        <f>Penjabaran!K440</f>
        <v>2070000</v>
      </c>
      <c r="J127" s="1027"/>
      <c r="K127" s="32">
        <f>'BID II'!F822</f>
        <v>2070000</v>
      </c>
    </row>
    <row r="128" spans="1:11" x14ac:dyDescent="0.25">
      <c r="A128" s="1"/>
      <c r="B128" s="1"/>
      <c r="C128" s="1"/>
      <c r="D128" s="1">
        <v>5</v>
      </c>
      <c r="E128" s="1">
        <v>2</v>
      </c>
      <c r="F128" s="4" t="str">
        <f>'BID II'!B810</f>
        <v>Belanja Barang Jasa</v>
      </c>
      <c r="G128" s="1"/>
      <c r="H128" s="1"/>
      <c r="I128" s="91">
        <f>I127</f>
        <v>2070000</v>
      </c>
      <c r="J128" s="1"/>
    </row>
    <row r="129" spans="1:11" ht="105" x14ac:dyDescent="0.25">
      <c r="A129" s="1027">
        <v>2</v>
      </c>
      <c r="B129" s="1027">
        <v>2</v>
      </c>
      <c r="C129" s="1491" t="s">
        <v>2696</v>
      </c>
      <c r="D129" s="1027"/>
      <c r="E129" s="1027"/>
      <c r="F129" s="1028" t="str">
        <f>'BID II'!B836</f>
        <v>:Penyuluhan dan Pelatihan Bidang Kesehatan Untuk Masyarakat (Penyelenggaraan Pembinaan dan Lomba PMT)</v>
      </c>
      <c r="G129" s="1027"/>
      <c r="H129" s="1027"/>
      <c r="I129" s="1492">
        <f>Penjabaran!K446</f>
        <v>11391000</v>
      </c>
      <c r="J129" s="1027"/>
      <c r="K129" s="83">
        <f>'BID II'!F886</f>
        <v>11391000</v>
      </c>
    </row>
    <row r="130" spans="1:11" x14ac:dyDescent="0.25">
      <c r="A130" s="1"/>
      <c r="B130" s="1"/>
      <c r="C130" s="1"/>
      <c r="D130" s="1">
        <v>5</v>
      </c>
      <c r="E130" s="1">
        <v>2</v>
      </c>
      <c r="F130" s="4" t="str">
        <f>'BID II'!B842</f>
        <v>Belanja Barang Jasa :</v>
      </c>
      <c r="G130" s="1"/>
      <c r="H130" s="1"/>
      <c r="I130" s="91">
        <f>I129</f>
        <v>11391000</v>
      </c>
      <c r="J130" s="1"/>
    </row>
    <row r="131" spans="1:11" ht="120" x14ac:dyDescent="0.25">
      <c r="A131" s="1027">
        <v>2</v>
      </c>
      <c r="B131" s="1027">
        <v>2</v>
      </c>
      <c r="C131" s="1491" t="s">
        <v>2696</v>
      </c>
      <c r="D131" s="1027"/>
      <c r="E131" s="1027"/>
      <c r="F131" s="1028" t="str">
        <f>'BID II'!B899</f>
        <v>: Penyuluhan dan Pelatihan Bidang Kesehatan untuk Masyarakat (Penyuluhan kesehatan Organ Reproduksi dan Penyelenggaraan Papsmear)</v>
      </c>
      <c r="G131" s="1027"/>
      <c r="H131" s="1027"/>
      <c r="I131" s="1492">
        <f>Penjabaran!K462</f>
        <v>7480000</v>
      </c>
      <c r="J131" s="1027"/>
      <c r="K131" s="32">
        <f>'BID II'!F924</f>
        <v>7480000</v>
      </c>
    </row>
    <row r="132" spans="1:11" x14ac:dyDescent="0.25">
      <c r="A132" s="1"/>
      <c r="B132" s="1"/>
      <c r="C132" s="1"/>
      <c r="D132" s="1">
        <v>5</v>
      </c>
      <c r="E132" s="1">
        <v>2</v>
      </c>
      <c r="F132" s="4" t="str">
        <f>'BID II'!B906</f>
        <v>Belanja Barang Jasa</v>
      </c>
      <c r="G132" s="1"/>
      <c r="H132" s="1"/>
      <c r="I132" s="91">
        <f>I131</f>
        <v>7480000</v>
      </c>
      <c r="J132" s="1"/>
    </row>
    <row r="133" spans="1:11" ht="75" x14ac:dyDescent="0.25">
      <c r="A133" s="1027">
        <v>2</v>
      </c>
      <c r="B133" s="1027">
        <v>2</v>
      </c>
      <c r="C133" s="1491" t="s">
        <v>2696</v>
      </c>
      <c r="D133" s="1027"/>
      <c r="E133" s="1027"/>
      <c r="F133" s="1028" t="str">
        <f>'BID II'!B938</f>
        <v>: Penyuluhan dan Pelatihan Bidang Kesehatan untuk Masyarakat  (Pembinaan Rumah Dataku)</v>
      </c>
      <c r="G133" s="1027"/>
      <c r="H133" s="1027"/>
      <c r="I133" s="1492">
        <f>Penjabaran!K471</f>
        <v>1550000</v>
      </c>
      <c r="J133" s="1027"/>
      <c r="K133" s="83">
        <f>'BID II'!F965</f>
        <v>1550000</v>
      </c>
    </row>
    <row r="134" spans="1:11" x14ac:dyDescent="0.25">
      <c r="A134" s="1"/>
      <c r="B134" s="1"/>
      <c r="C134" s="1"/>
      <c r="D134" s="1">
        <v>5</v>
      </c>
      <c r="E134" s="1">
        <v>2</v>
      </c>
      <c r="F134" s="4" t="str">
        <f>'BID II'!B944</f>
        <v>Belanja Barang Jasa</v>
      </c>
      <c r="G134" s="1"/>
      <c r="H134" s="1"/>
      <c r="I134" s="91">
        <f>I133</f>
        <v>1550000</v>
      </c>
      <c r="J134" s="1"/>
    </row>
    <row r="135" spans="1:11" ht="75" x14ac:dyDescent="0.25">
      <c r="A135" s="1027">
        <v>2</v>
      </c>
      <c r="B135" s="1027">
        <v>2</v>
      </c>
      <c r="C135" s="1491" t="s">
        <v>2696</v>
      </c>
      <c r="D135" s="1027"/>
      <c r="E135" s="1027"/>
      <c r="F135" s="1028" t="str">
        <f>'BID II'!B979</f>
        <v>: Penyuluhan dan Pelatihan Bidang Kesehatan Untuk Masyarakat  (Sosialisasi Sanitasi pedagang )</v>
      </c>
      <c r="G135" s="1027"/>
      <c r="H135" s="1027"/>
      <c r="I135" s="1492">
        <f>Penjabaran!K479</f>
        <v>4633200</v>
      </c>
      <c r="J135" s="1027"/>
      <c r="K135" s="32">
        <f>'BID II'!F1004</f>
        <v>4633200</v>
      </c>
    </row>
    <row r="136" spans="1:11" x14ac:dyDescent="0.25">
      <c r="A136" s="1"/>
      <c r="B136" s="1"/>
      <c r="C136" s="1"/>
      <c r="D136" s="1">
        <v>5</v>
      </c>
      <c r="E136" s="1">
        <v>2</v>
      </c>
      <c r="F136" s="4" t="str">
        <f>'BID II'!B986</f>
        <v xml:space="preserve">Belanja Barang dan Jasa </v>
      </c>
      <c r="G136" s="1"/>
      <c r="H136" s="1"/>
      <c r="I136" s="91">
        <f>I135</f>
        <v>4633200</v>
      </c>
      <c r="J136" s="1"/>
    </row>
    <row r="137" spans="1:11" ht="75" x14ac:dyDescent="0.25">
      <c r="A137" s="1027">
        <v>2</v>
      </c>
      <c r="B137" s="1027">
        <v>2</v>
      </c>
      <c r="C137" s="1491" t="s">
        <v>2696</v>
      </c>
      <c r="D137" s="1027"/>
      <c r="E137" s="1027"/>
      <c r="F137" s="1028" t="str">
        <f>'BID II'!B1018</f>
        <v>: Penyuluhan dan Pelatihan Bidang Kesehatan Untuk Masyarakat  (Pembinaan Kader Kesehatan Jiwa )</v>
      </c>
      <c r="G137" s="1027"/>
      <c r="H137" s="1027"/>
      <c r="I137" s="1492">
        <f>Penjabaran!K487</f>
        <v>1321500</v>
      </c>
      <c r="J137" s="1027"/>
      <c r="K137">
        <f>'BID II'!F1045</f>
        <v>0</v>
      </c>
    </row>
    <row r="138" spans="1:11" x14ac:dyDescent="0.25">
      <c r="A138" s="1"/>
      <c r="B138" s="1"/>
      <c r="C138" s="1"/>
      <c r="D138" s="1">
        <v>5</v>
      </c>
      <c r="E138" s="1">
        <v>2</v>
      </c>
      <c r="F138" s="4" t="str">
        <f>'BID II'!B1024</f>
        <v>Belanja Barang Jasa</v>
      </c>
      <c r="G138" s="1"/>
      <c r="H138" s="1"/>
      <c r="I138" s="91">
        <f>I137</f>
        <v>1321500</v>
      </c>
      <c r="J138" s="1"/>
    </row>
    <row r="139" spans="1:11" ht="60" x14ac:dyDescent="0.25">
      <c r="A139" s="1027">
        <v>2</v>
      </c>
      <c r="B139" s="1027">
        <v>2</v>
      </c>
      <c r="C139" s="1491" t="s">
        <v>2697</v>
      </c>
      <c r="D139" s="1027"/>
      <c r="E139" s="1027"/>
      <c r="F139" s="1028" t="str">
        <f>'BID II'!B1059</f>
        <v>: Penyuluhan dan Pelatihan Bidang Kesehatan (Desa Siaga Kesehatan)</v>
      </c>
      <c r="G139" s="1027"/>
      <c r="H139" s="1027"/>
      <c r="I139" s="1492">
        <f>Penjabaran!K495</f>
        <v>1669600</v>
      </c>
      <c r="J139" s="1027"/>
      <c r="K139" s="32">
        <f>'BID II'!F1091</f>
        <v>1669600</v>
      </c>
    </row>
    <row r="140" spans="1:11" x14ac:dyDescent="0.25">
      <c r="A140" s="1"/>
      <c r="B140" s="1"/>
      <c r="C140" s="1"/>
      <c r="D140" s="1">
        <v>5</v>
      </c>
      <c r="E140" s="1">
        <v>2</v>
      </c>
      <c r="F140" s="1" t="str">
        <f>'BID II'!B1065</f>
        <v>Belanja Barang Jasa</v>
      </c>
      <c r="G140" s="1"/>
      <c r="H140" s="1"/>
      <c r="I140" s="91">
        <f>I139</f>
        <v>1669600</v>
      </c>
      <c r="J140" s="1"/>
    </row>
    <row r="141" spans="1:11" ht="60" x14ac:dyDescent="0.25">
      <c r="A141" s="1027">
        <v>2</v>
      </c>
      <c r="B141" s="1027">
        <v>2</v>
      </c>
      <c r="C141" s="1491" t="s">
        <v>2697</v>
      </c>
      <c r="D141" s="1027"/>
      <c r="E141" s="1027"/>
      <c r="F141" s="1028" t="str">
        <f>'BID II'!B1105</f>
        <v>: Penyuluhan dan Pelatihan Bidang Kesehatan ( Sosialisasi anjing rabies)</v>
      </c>
      <c r="G141" s="1027"/>
      <c r="H141" s="1027"/>
      <c r="I141" s="1492">
        <f>Penjabaran!K504</f>
        <v>1030000</v>
      </c>
      <c r="J141" s="1027"/>
      <c r="K141">
        <f>'BID II'!F1127</f>
        <v>1030000</v>
      </c>
    </row>
    <row r="142" spans="1:11" x14ac:dyDescent="0.25">
      <c r="A142" s="1"/>
      <c r="B142" s="1"/>
      <c r="C142" s="1"/>
      <c r="D142" s="1">
        <v>5</v>
      </c>
      <c r="E142" s="1">
        <v>2</v>
      </c>
      <c r="F142" s="4" t="str">
        <f>'BID II'!B1111</f>
        <v>Belanja Barang Jasa</v>
      </c>
      <c r="G142" s="1"/>
      <c r="H142" s="1"/>
      <c r="I142" s="91">
        <f>I141</f>
        <v>1030000</v>
      </c>
      <c r="J142" s="1"/>
    </row>
    <row r="143" spans="1:11" ht="60" x14ac:dyDescent="0.25">
      <c r="A143" s="1027">
        <v>2</v>
      </c>
      <c r="B143" s="1027">
        <v>2</v>
      </c>
      <c r="C143" s="1491" t="s">
        <v>2694</v>
      </c>
      <c r="D143" s="1027"/>
      <c r="E143" s="1027"/>
      <c r="F143" s="1028" t="str">
        <f>'BID II'!B1183</f>
        <v xml:space="preserve"> :  Pengasuhan Bersama atau Bina Keluarga Balita (Pelaksanaan Kegiatan Bina Keluarga Balita BKB )</v>
      </c>
      <c r="G143" s="1027"/>
      <c r="H143" s="1027"/>
      <c r="I143" s="1492" t="e">
        <f>Penjabaran!K512</f>
        <v>#REF!</v>
      </c>
      <c r="J143" s="1027"/>
      <c r="K143" s="32">
        <f>'BID II'!F1209</f>
        <v>83212900</v>
      </c>
    </row>
    <row r="144" spans="1:11" x14ac:dyDescent="0.25">
      <c r="A144" s="1"/>
      <c r="B144" s="1"/>
      <c r="C144" s="1"/>
      <c r="D144" s="1">
        <v>5</v>
      </c>
      <c r="E144" s="1">
        <v>2</v>
      </c>
      <c r="F144" s="1" t="str">
        <f>'BID II'!B1189</f>
        <v>Belanja Barang dan Jasa</v>
      </c>
      <c r="G144" s="1"/>
      <c r="H144" s="1"/>
      <c r="I144" s="91" t="e">
        <f>I143</f>
        <v>#REF!</v>
      </c>
      <c r="J144" s="1"/>
    </row>
    <row r="145" spans="1:11" ht="45" x14ac:dyDescent="0.25">
      <c r="A145" s="1027">
        <v>2</v>
      </c>
      <c r="B145" s="1027">
        <v>2</v>
      </c>
      <c r="C145" s="1491" t="s">
        <v>2700</v>
      </c>
      <c r="D145" s="1027"/>
      <c r="E145" s="1027"/>
      <c r="F145" s="1028" t="str">
        <f>'BID II'!B1223</f>
        <v xml:space="preserve"> :  Pengasuhan Bersama atau Bina Keluarga Lansia (Penyelenggaraan BKL)</v>
      </c>
      <c r="G145" s="1027"/>
      <c r="H145" s="1027"/>
      <c r="I145" s="1492">
        <f>Penjabaran!K521</f>
        <v>14133000</v>
      </c>
      <c r="J145" s="1027"/>
      <c r="K145" s="32">
        <f>'BID II'!F1247</f>
        <v>14133000</v>
      </c>
    </row>
    <row r="146" spans="1:11" x14ac:dyDescent="0.25">
      <c r="A146" s="1"/>
      <c r="B146" s="1"/>
      <c r="C146" s="1"/>
      <c r="D146" s="1">
        <v>5</v>
      </c>
      <c r="E146" s="1">
        <v>2</v>
      </c>
      <c r="F146" s="4" t="str">
        <f>'BID II'!B1228</f>
        <v>Belanja Barang Jasa</v>
      </c>
      <c r="G146" s="1"/>
      <c r="H146" s="1"/>
      <c r="I146" s="91">
        <f>I145</f>
        <v>14133000</v>
      </c>
      <c r="J146" s="1"/>
    </row>
    <row r="147" spans="1:11" ht="75" x14ac:dyDescent="0.25">
      <c r="A147" s="1027">
        <v>2</v>
      </c>
      <c r="B147" s="1027">
        <v>2</v>
      </c>
      <c r="C147" s="1491" t="s">
        <v>2696</v>
      </c>
      <c r="D147" s="1027"/>
      <c r="E147" s="1027"/>
      <c r="F147" s="1028" t="str">
        <f>'BID II'!B1261</f>
        <v>: : Penyuluhan dan Pelatihan Bidang Kesehatan untuk Masyarakat (Pembuatan Video Promosi Posyandu)</v>
      </c>
      <c r="G147" s="1027"/>
      <c r="H147" s="1027"/>
      <c r="I147" s="1492">
        <f>Penjabaran!K529</f>
        <v>21140000</v>
      </c>
      <c r="J147" s="1028" t="s">
        <v>2570</v>
      </c>
      <c r="K147" s="32">
        <f>'BID II'!F1281</f>
        <v>0</v>
      </c>
    </row>
    <row r="148" spans="1:11" x14ac:dyDescent="0.25">
      <c r="A148" s="1"/>
      <c r="B148" s="1"/>
      <c r="C148" s="1"/>
      <c r="D148" s="1">
        <v>5</v>
      </c>
      <c r="E148" s="1">
        <v>2</v>
      </c>
      <c r="F148" s="1" t="str">
        <f>'BID II'!B1267</f>
        <v>Belanja Barang Jasa</v>
      </c>
      <c r="G148" s="1"/>
      <c r="H148" s="1"/>
      <c r="I148" s="91">
        <f>I147</f>
        <v>21140000</v>
      </c>
      <c r="J148" s="1"/>
    </row>
    <row r="149" spans="1:11" ht="60" x14ac:dyDescent="0.25">
      <c r="A149" s="1027">
        <v>2</v>
      </c>
      <c r="B149" s="1027">
        <v>2</v>
      </c>
      <c r="C149" s="1491" t="s">
        <v>2700</v>
      </c>
      <c r="D149" s="1027"/>
      <c r="E149" s="1027"/>
      <c r="F149" s="1028" t="str">
        <f>'BID II'!B1295</f>
        <v xml:space="preserve"> :  Pengasuhan Bersama atau Bina Keluarga Remaja (Penyelenggaraan BKR)</v>
      </c>
      <c r="G149" s="1027"/>
      <c r="H149" s="1027"/>
      <c r="I149" s="1492">
        <f>Penjabaran!K537</f>
        <v>14010000</v>
      </c>
      <c r="J149" s="1027"/>
      <c r="K149" s="32">
        <f>'BID II'!F1316</f>
        <v>14010000</v>
      </c>
    </row>
    <row r="150" spans="1:11" x14ac:dyDescent="0.25">
      <c r="A150" s="1"/>
      <c r="B150" s="1"/>
      <c r="C150" s="1"/>
      <c r="D150" s="1">
        <v>5</v>
      </c>
      <c r="E150" s="1">
        <v>2</v>
      </c>
      <c r="F150" s="1" t="str">
        <f>'BID II'!B1300</f>
        <v>Belanja Barang Jasa</v>
      </c>
      <c r="G150" s="1"/>
      <c r="H150" s="1"/>
      <c r="I150" s="91">
        <f>I149</f>
        <v>14010000</v>
      </c>
      <c r="J150" s="1"/>
    </row>
    <row r="151" spans="1:11" x14ac:dyDescent="0.25">
      <c r="A151" s="1027">
        <v>2</v>
      </c>
      <c r="B151" s="1027">
        <v>2</v>
      </c>
      <c r="C151" s="1027">
        <v>91</v>
      </c>
      <c r="D151" s="1027"/>
      <c r="E151" s="1027"/>
      <c r="F151" s="1027" t="str">
        <f>'BID II'!B1331</f>
        <v>:  Foging Fokus</v>
      </c>
      <c r="G151" s="1027"/>
      <c r="H151" s="1027"/>
      <c r="I151" s="1492">
        <f>Penjabaran!K544</f>
        <v>17510000</v>
      </c>
      <c r="J151" s="1027"/>
      <c r="K151" s="32">
        <f>'BID II'!F1360</f>
        <v>17510000</v>
      </c>
    </row>
    <row r="152" spans="1:11" x14ac:dyDescent="0.25">
      <c r="A152" s="1"/>
      <c r="B152" s="1"/>
      <c r="C152" s="1"/>
      <c r="D152" s="1">
        <v>5</v>
      </c>
      <c r="E152" s="1">
        <v>2</v>
      </c>
      <c r="F152" s="4" t="str">
        <f>'BID II'!B1338</f>
        <v xml:space="preserve">Belanja Barang dan Jasa </v>
      </c>
      <c r="G152" s="1"/>
      <c r="H152" s="1"/>
      <c r="I152" s="91">
        <f>I151</f>
        <v>17510000</v>
      </c>
      <c r="J152" s="1"/>
    </row>
    <row r="153" spans="1:11" ht="30" x14ac:dyDescent="0.25">
      <c r="A153" s="1027">
        <v>2</v>
      </c>
      <c r="B153" s="1027">
        <v>2</v>
      </c>
      <c r="C153" s="1027">
        <v>92</v>
      </c>
      <c r="D153" s="1027"/>
      <c r="E153" s="1027"/>
      <c r="F153" s="1028" t="str">
        <f>'BID II'!B1374</f>
        <v>: Gerakan Serentak PSN dan Lomba PSN</v>
      </c>
      <c r="G153" s="1027"/>
      <c r="H153" s="1027"/>
      <c r="I153" s="1492">
        <f>Penjabaran!K554</f>
        <v>41507000</v>
      </c>
      <c r="J153" s="1027"/>
      <c r="K153" s="32">
        <f>'BID II'!F1413</f>
        <v>41507000</v>
      </c>
    </row>
    <row r="154" spans="1:11" x14ac:dyDescent="0.25">
      <c r="A154" s="1"/>
      <c r="B154" s="1"/>
      <c r="C154" s="1"/>
      <c r="D154" s="1">
        <v>5</v>
      </c>
      <c r="E154" s="1">
        <v>2</v>
      </c>
      <c r="F154" s="4" t="str">
        <f>'BID II'!B1381</f>
        <v xml:space="preserve">Belanja Barang dan Jasa </v>
      </c>
      <c r="G154" s="1"/>
      <c r="H154" s="1"/>
      <c r="I154" s="91">
        <f>I153</f>
        <v>41507000</v>
      </c>
      <c r="J154" s="1"/>
    </row>
    <row r="155" spans="1:11" ht="30" x14ac:dyDescent="0.25">
      <c r="A155" s="1027">
        <v>2</v>
      </c>
      <c r="B155" s="1027">
        <v>2</v>
      </c>
      <c r="C155" s="1027">
        <v>93</v>
      </c>
      <c r="D155" s="1027"/>
      <c r="E155" s="1027"/>
      <c r="F155" s="1028" t="str">
        <f>'BID II'!B1426</f>
        <v xml:space="preserve">Penyelengggaraan TPPS Desa </v>
      </c>
      <c r="G155" s="1027"/>
      <c r="H155" s="1027"/>
      <c r="I155" s="1492">
        <f>Penjabaran!K568</f>
        <v>5236500</v>
      </c>
      <c r="J155" s="1027"/>
      <c r="K155" s="83">
        <f>'BID II'!F1450</f>
        <v>5236500</v>
      </c>
    </row>
    <row r="156" spans="1:11" x14ac:dyDescent="0.25">
      <c r="A156" s="1"/>
      <c r="B156" s="1"/>
      <c r="C156" s="1"/>
      <c r="D156" s="1">
        <v>5</v>
      </c>
      <c r="E156" s="1">
        <v>2</v>
      </c>
      <c r="F156" s="4" t="str">
        <f>'BID II'!B1431</f>
        <v>Belanja Barang Jasa :</v>
      </c>
      <c r="G156" s="1"/>
      <c r="H156" s="1"/>
      <c r="I156" s="91">
        <f>I155</f>
        <v>5236500</v>
      </c>
      <c r="J156" s="1"/>
    </row>
    <row r="157" spans="1:11" x14ac:dyDescent="0.25">
      <c r="A157" s="1027">
        <v>2</v>
      </c>
      <c r="B157" s="1027">
        <v>2</v>
      </c>
      <c r="C157" s="1027">
        <v>93</v>
      </c>
      <c r="D157" s="1027"/>
      <c r="E157" s="1027"/>
      <c r="F157" s="1027" t="str">
        <f>'BID II'!B1463</f>
        <v>: Rembuk Stunting</v>
      </c>
      <c r="G157" s="1027"/>
      <c r="H157" s="1027"/>
      <c r="I157" s="1492">
        <f>Penjabaran!K575</f>
        <v>2894687.09</v>
      </c>
      <c r="J157" s="1027"/>
      <c r="K157" s="32">
        <f>'BID II'!F1485</f>
        <v>2894687.09</v>
      </c>
    </row>
    <row r="158" spans="1:11" x14ac:dyDescent="0.25">
      <c r="A158" s="1"/>
      <c r="B158" s="1"/>
      <c r="C158" s="1"/>
      <c r="D158" s="1">
        <v>5</v>
      </c>
      <c r="E158" s="1">
        <v>2</v>
      </c>
      <c r="F158" s="4" t="str">
        <f>'BID II'!B1466</f>
        <v>Belanja Barang Jasa</v>
      </c>
      <c r="G158" s="1"/>
      <c r="H158" s="1"/>
      <c r="I158" s="91">
        <f>I157</f>
        <v>2894687.09</v>
      </c>
      <c r="J158" s="1"/>
    </row>
    <row r="159" spans="1:11" ht="30" x14ac:dyDescent="0.25">
      <c r="A159" s="1027">
        <v>2</v>
      </c>
      <c r="B159" s="1027">
        <v>2</v>
      </c>
      <c r="C159" s="1491" t="s">
        <v>2700</v>
      </c>
      <c r="D159" s="1027"/>
      <c r="E159" s="1027"/>
      <c r="F159" s="1028" t="str">
        <f>'BID II'!B1499</f>
        <v>: Penyelenggaraan Posyandu Remaja</v>
      </c>
      <c r="G159" s="1027"/>
      <c r="H159" s="1027"/>
      <c r="I159" s="1492">
        <f>Penjabaran!K583</f>
        <v>58301000</v>
      </c>
      <c r="J159" s="1027"/>
      <c r="K159" s="32">
        <f>'BID II'!F1529</f>
        <v>61113400</v>
      </c>
    </row>
    <row r="160" spans="1:11" x14ac:dyDescent="0.25">
      <c r="A160" s="1"/>
      <c r="B160" s="1"/>
      <c r="C160" s="1"/>
      <c r="D160" s="1">
        <v>5</v>
      </c>
      <c r="E160" s="1">
        <v>2</v>
      </c>
      <c r="F160" s="4" t="str">
        <f>'BID II'!B1504</f>
        <v>Belanja Barang Jasa</v>
      </c>
      <c r="G160" s="1"/>
      <c r="H160" s="1"/>
      <c r="I160" s="91">
        <f>I159</f>
        <v>58301000</v>
      </c>
      <c r="J160" s="1"/>
    </row>
    <row r="161" spans="1:11" ht="60" x14ac:dyDescent="0.25">
      <c r="A161" s="1027">
        <v>2</v>
      </c>
      <c r="B161" s="1027">
        <v>3</v>
      </c>
      <c r="C161" s="1491" t="s">
        <v>2696</v>
      </c>
      <c r="D161" s="1027"/>
      <c r="E161" s="1027"/>
      <c r="F161" s="1028" t="str">
        <f>'BID II'!B1543</f>
        <v>Pemeliharaan Jalan Lingkungan Permukiman Gang Sekar Sari Baru II (Pembersihan Site)</v>
      </c>
      <c r="G161" s="1027"/>
      <c r="H161" s="1027"/>
      <c r="I161" s="1492">
        <f>Penjabaran!K591</f>
        <v>5038800</v>
      </c>
      <c r="J161" s="1027"/>
      <c r="K161">
        <f>'BID II'!F1559</f>
        <v>5038800</v>
      </c>
    </row>
    <row r="162" spans="1:11" x14ac:dyDescent="0.25">
      <c r="A162" s="1"/>
      <c r="B162" s="1"/>
      <c r="C162" s="1"/>
      <c r="D162" s="1">
        <v>5</v>
      </c>
      <c r="E162" s="1">
        <v>3</v>
      </c>
      <c r="F162" s="1" t="str">
        <f>'BID II'!B1550</f>
        <v xml:space="preserve">Belanja Modal </v>
      </c>
      <c r="G162" s="1"/>
      <c r="H162" s="1"/>
      <c r="I162" s="91">
        <f>I161</f>
        <v>5038800</v>
      </c>
      <c r="J162" s="1"/>
    </row>
    <row r="163" spans="1:11" ht="60" x14ac:dyDescent="0.25">
      <c r="A163" s="1027">
        <v>2</v>
      </c>
      <c r="B163" s="1027">
        <v>3</v>
      </c>
      <c r="C163" s="1491" t="s">
        <v>2696</v>
      </c>
      <c r="D163" s="1027"/>
      <c r="E163" s="1027"/>
      <c r="F163" s="1028" t="str">
        <f>'BID II'!B1573</f>
        <v>Pemeliharaan Jalan Lingkungan Permukiman Gang Sekar Sari Baru II (Pemavingan)</v>
      </c>
      <c r="G163" s="1027"/>
      <c r="H163" s="1027"/>
      <c r="I163" s="1492">
        <f>Penjabaran!K596</f>
        <v>37970000</v>
      </c>
      <c r="J163" s="1027"/>
      <c r="K163" s="83">
        <f>'BID II'!F1598</f>
        <v>37970000</v>
      </c>
    </row>
    <row r="164" spans="1:11" x14ac:dyDescent="0.25">
      <c r="A164" s="1"/>
      <c r="B164" s="1"/>
      <c r="C164" s="1"/>
      <c r="D164" s="1">
        <v>5</v>
      </c>
      <c r="E164" s="1">
        <v>3</v>
      </c>
      <c r="F164" s="4" t="str">
        <f>'BID II'!B1580</f>
        <v xml:space="preserve">Belanja Modal </v>
      </c>
      <c r="G164" s="1"/>
      <c r="H164" s="1"/>
      <c r="I164" s="91">
        <f>I163</f>
        <v>37970000</v>
      </c>
      <c r="J164" s="1"/>
    </row>
    <row r="165" spans="1:11" ht="60" x14ac:dyDescent="0.25">
      <c r="A165" s="1027">
        <v>2</v>
      </c>
      <c r="B165" s="1027">
        <v>3</v>
      </c>
      <c r="C165" s="1491" t="s">
        <v>2696</v>
      </c>
      <c r="D165" s="1027"/>
      <c r="E165" s="1027"/>
      <c r="F165" s="1028" t="str">
        <f>'BID II'!B1641</f>
        <v>Pemeliharaan Jalan Lingkungan Permukiman Gang Sekar Sari Baru II ( Rabat Pengunci Paving)</v>
      </c>
      <c r="G165" s="1027"/>
      <c r="H165" s="1027"/>
      <c r="I165" s="1492">
        <f>Penjabaran!K602</f>
        <v>2620960</v>
      </c>
      <c r="J165" s="1492"/>
      <c r="K165" s="83">
        <f>'BID II'!F1663</f>
        <v>2620960</v>
      </c>
    </row>
    <row r="166" spans="1:11" x14ac:dyDescent="0.25">
      <c r="A166" s="1"/>
      <c r="B166" s="1"/>
      <c r="C166" s="1"/>
      <c r="D166" s="1">
        <v>5</v>
      </c>
      <c r="E166" s="1">
        <v>3</v>
      </c>
      <c r="F166" s="4" t="str">
        <f>'BID II'!B1648</f>
        <v xml:space="preserve">Belanja Modal </v>
      </c>
      <c r="G166" s="1"/>
      <c r="H166" s="1"/>
      <c r="I166" s="91">
        <f>I165</f>
        <v>2620960</v>
      </c>
      <c r="J166" s="1"/>
    </row>
    <row r="167" spans="1:11" ht="60" x14ac:dyDescent="0.25">
      <c r="A167" s="1027">
        <v>2</v>
      </c>
      <c r="B167" s="1027">
        <v>3</v>
      </c>
      <c r="C167" s="1491" t="s">
        <v>2696</v>
      </c>
      <c r="D167" s="1027"/>
      <c r="E167" s="1027"/>
      <c r="F167" s="1028" t="str">
        <f>'BID II'!B1676</f>
        <v>Pemeliharaan Jalan Lingkungan Permukiman /Gang Belakang SD (Pembersihan Site)</v>
      </c>
      <c r="G167" s="1027"/>
      <c r="H167" s="1027"/>
      <c r="I167" s="1492">
        <f>Penjabaran!K608</f>
        <v>9547200</v>
      </c>
      <c r="J167" s="1492"/>
      <c r="K167" s="83">
        <f>'BID II'!F1692</f>
        <v>9547200</v>
      </c>
    </row>
    <row r="168" spans="1:11" x14ac:dyDescent="0.25">
      <c r="A168" s="1"/>
      <c r="B168" s="1"/>
      <c r="C168" s="1"/>
      <c r="D168" s="1">
        <v>5</v>
      </c>
      <c r="E168" s="1">
        <v>2</v>
      </c>
      <c r="F168" s="4" t="str">
        <f>'BID II'!B1683</f>
        <v xml:space="preserve">Belanja Modal </v>
      </c>
      <c r="G168" s="1"/>
      <c r="H168" s="1"/>
      <c r="I168" s="91">
        <f>I167</f>
        <v>9547200</v>
      </c>
      <c r="J168" s="1"/>
    </row>
    <row r="169" spans="1:11" ht="60" x14ac:dyDescent="0.25">
      <c r="A169" s="1027">
        <v>2</v>
      </c>
      <c r="B169" s="1027">
        <v>3</v>
      </c>
      <c r="C169" s="1491" t="s">
        <v>2696</v>
      </c>
      <c r="D169" s="1027"/>
      <c r="E169" s="1027"/>
      <c r="F169" s="1028" t="str">
        <f>'BID II'!B1708</f>
        <v>Pemeliharaan Jalan Lingkungan Permukiman /Gang Belakang SD (Pemavingan)</v>
      </c>
      <c r="G169" s="1027"/>
      <c r="H169" s="1027"/>
      <c r="I169" s="1492">
        <f>Penjabaran!K613</f>
        <v>66939000</v>
      </c>
      <c r="J169" s="1027"/>
      <c r="K169">
        <f>'BID II'!F1732</f>
        <v>66939000</v>
      </c>
    </row>
    <row r="170" spans="1:11" x14ac:dyDescent="0.25">
      <c r="A170" s="1"/>
      <c r="B170" s="1"/>
      <c r="C170" s="1"/>
      <c r="D170" s="1">
        <v>5</v>
      </c>
      <c r="E170" s="1">
        <v>3</v>
      </c>
      <c r="F170" s="4" t="str">
        <f>'BID II'!B1715</f>
        <v xml:space="preserve">Belanja Modal </v>
      </c>
      <c r="G170" s="1"/>
      <c r="H170" s="1"/>
      <c r="I170" s="91">
        <f>I169</f>
        <v>66939000</v>
      </c>
      <c r="J170" s="1"/>
    </row>
    <row r="171" spans="1:11" ht="60" x14ac:dyDescent="0.25">
      <c r="A171" s="1498">
        <v>2</v>
      </c>
      <c r="B171" s="1498">
        <v>3</v>
      </c>
      <c r="C171" s="1498">
        <v>12</v>
      </c>
      <c r="D171" s="1498"/>
      <c r="E171" s="1498"/>
      <c r="F171" s="1494" t="str">
        <f>'BID II'!B1745</f>
        <v>: Pembangunan Jalan Usaha Tani (Subak Temaga Munduk Pengiu PONDASI Batu Kali)</v>
      </c>
      <c r="G171" s="1492"/>
      <c r="H171" s="1492"/>
      <c r="I171" s="1492">
        <f>Penjabaran!K619</f>
        <v>254201840</v>
      </c>
      <c r="J171" s="1492"/>
      <c r="K171" s="83">
        <f>'BID II'!F1770</f>
        <v>254201840</v>
      </c>
    </row>
    <row r="172" spans="1:11" x14ac:dyDescent="0.25">
      <c r="A172" s="1"/>
      <c r="B172" s="1"/>
      <c r="C172" s="1"/>
      <c r="D172" s="1">
        <v>5</v>
      </c>
      <c r="E172" s="1">
        <v>3</v>
      </c>
      <c r="F172" s="4" t="str">
        <f>'BID II'!B1752</f>
        <v xml:space="preserve">Belanja Modal </v>
      </c>
      <c r="G172" s="1"/>
      <c r="H172" s="1"/>
      <c r="I172" s="91">
        <f>I171</f>
        <v>254201840</v>
      </c>
      <c r="J172" s="1"/>
    </row>
    <row r="173" spans="1:11" ht="60" x14ac:dyDescent="0.25">
      <c r="A173" s="1027">
        <v>2</v>
      </c>
      <c r="B173" s="1027">
        <v>3</v>
      </c>
      <c r="C173" s="1027">
        <v>12</v>
      </c>
      <c r="D173" s="1027"/>
      <c r="E173" s="1027"/>
      <c r="F173" s="1028" t="str">
        <f>'BID II'!B1785</f>
        <v>: Pembangunan Jalan Usaha Tani (Subak Temaga Munduk Pengiu GALIAN)</v>
      </c>
      <c r="G173" s="1027"/>
      <c r="H173" s="1027"/>
      <c r="I173" s="1492">
        <f>Penjabaran!K625</f>
        <v>10210200</v>
      </c>
      <c r="J173" s="1027" t="s">
        <v>1409</v>
      </c>
      <c r="K173">
        <f>'BID II'!F1801</f>
        <v>10210200</v>
      </c>
    </row>
    <row r="174" spans="1:11" x14ac:dyDescent="0.25">
      <c r="A174" s="1"/>
      <c r="B174" s="1"/>
      <c r="C174" s="1"/>
      <c r="D174" s="1">
        <v>5</v>
      </c>
      <c r="E174" s="1">
        <v>3</v>
      </c>
      <c r="F174" s="4" t="str">
        <f>'BID II'!B1792</f>
        <v xml:space="preserve">Belanja Modal </v>
      </c>
      <c r="G174" s="1"/>
      <c r="H174" s="1"/>
      <c r="I174" s="91">
        <f>I173</f>
        <v>10210200</v>
      </c>
      <c r="J174" s="1"/>
    </row>
    <row r="175" spans="1:11" ht="60" x14ac:dyDescent="0.25">
      <c r="A175" s="1027">
        <v>2</v>
      </c>
      <c r="B175" s="1027">
        <v>3</v>
      </c>
      <c r="C175" s="1027">
        <v>12</v>
      </c>
      <c r="D175" s="1027"/>
      <c r="E175" s="1027"/>
      <c r="F175" s="1028" t="str">
        <f>'BID II'!B1816</f>
        <v>: Pembangunan Jalan Usaha Tani (Subak Temaga Munduk Pengiu URUGAN LIMESTONE)</v>
      </c>
      <c r="G175" s="1027"/>
      <c r="H175" s="1027"/>
      <c r="I175" s="1492">
        <f>Penjabaran!K630</f>
        <v>101319040</v>
      </c>
      <c r="J175" s="1027"/>
      <c r="K175" s="83">
        <f>'BID II'!F1841</f>
        <v>101319040</v>
      </c>
    </row>
    <row r="176" spans="1:11" x14ac:dyDescent="0.25">
      <c r="A176" s="1"/>
      <c r="B176" s="1"/>
      <c r="C176" s="1"/>
      <c r="D176" s="1">
        <v>5</v>
      </c>
      <c r="E176" s="1">
        <v>3</v>
      </c>
      <c r="F176" s="4" t="str">
        <f>'BID II'!B1823</f>
        <v xml:space="preserve">Belanja Modal </v>
      </c>
      <c r="G176" s="1"/>
      <c r="H176" s="1"/>
      <c r="I176" s="91">
        <f>I175</f>
        <v>101319040</v>
      </c>
      <c r="J176" s="1"/>
    </row>
    <row r="177" spans="1:11" ht="60" x14ac:dyDescent="0.25">
      <c r="A177" s="1027">
        <v>2</v>
      </c>
      <c r="B177" s="1027">
        <v>3</v>
      </c>
      <c r="C177" s="1027">
        <v>12</v>
      </c>
      <c r="D177" s="1027"/>
      <c r="E177" s="1027"/>
      <c r="F177" s="1028" t="str">
        <f>'BID II'!B1856</f>
        <v>: Pembangunan Jalan Usaha Tani (Subak Temaga Munduk Pengiu PEMBETONAN)</v>
      </c>
      <c r="G177" s="1027"/>
      <c r="H177" s="1027"/>
      <c r="I177" s="1492">
        <f>Penjabaran!K637</f>
        <v>142162360</v>
      </c>
      <c r="J177" s="1492"/>
      <c r="K177" s="83">
        <f>'BID II'!F1879</f>
        <v>142162360</v>
      </c>
    </row>
    <row r="178" spans="1:11" x14ac:dyDescent="0.25">
      <c r="A178" s="1"/>
      <c r="B178" s="1"/>
      <c r="C178" s="1"/>
      <c r="D178" s="1">
        <v>5</v>
      </c>
      <c r="E178" s="1">
        <v>3</v>
      </c>
      <c r="F178" s="4" t="str">
        <f>'BID II'!B1863</f>
        <v xml:space="preserve">Belanja Modal </v>
      </c>
      <c r="G178" s="1"/>
      <c r="H178" s="1"/>
      <c r="I178" s="91">
        <f>I177</f>
        <v>142162360</v>
      </c>
      <c r="J178" s="1"/>
    </row>
    <row r="179" spans="1:11" ht="60" x14ac:dyDescent="0.25">
      <c r="A179" s="1027">
        <v>2</v>
      </c>
      <c r="B179" s="1027">
        <v>3</v>
      </c>
      <c r="C179" s="1027">
        <v>12</v>
      </c>
      <c r="D179" s="1027"/>
      <c r="E179" s="1027"/>
      <c r="F179" s="1028" t="str">
        <f>'BID II'!B1894</f>
        <v>: Pembangunan Jalan Usaha Tani (Subak Temaga Munduk Pengiu BEKISTING)</v>
      </c>
      <c r="G179" s="1027"/>
      <c r="H179" s="1027"/>
      <c r="I179" s="1492">
        <f>Penjabaran!K643</f>
        <v>70948500</v>
      </c>
      <c r="J179" s="1027"/>
      <c r="K179" s="83">
        <f>'BID II'!F1917</f>
        <v>70948500</v>
      </c>
    </row>
    <row r="180" spans="1:11" x14ac:dyDescent="0.25">
      <c r="A180" s="1"/>
      <c r="B180" s="1"/>
      <c r="C180" s="1"/>
      <c r="D180" s="1">
        <v>5</v>
      </c>
      <c r="E180" s="1">
        <v>3</v>
      </c>
      <c r="F180" s="1" t="str">
        <f>'BID II'!B1901</f>
        <v xml:space="preserve">Belanja Modal </v>
      </c>
      <c r="G180" s="1"/>
      <c r="H180" s="1"/>
      <c r="I180" s="91">
        <f>I179</f>
        <v>70948500</v>
      </c>
      <c r="J180" s="1"/>
    </row>
    <row r="181" spans="1:11" ht="60" x14ac:dyDescent="0.25">
      <c r="A181" s="1027">
        <v>2</v>
      </c>
      <c r="B181" s="1027">
        <v>3</v>
      </c>
      <c r="C181" s="1027">
        <v>12</v>
      </c>
      <c r="D181" s="1027"/>
      <c r="E181" s="1027"/>
      <c r="F181" s="1028" t="str">
        <f>'BID II'!B1932</f>
        <v>: Pembangunan Jalan Usaha Tani (Subak Temaga Munduk Pengiu PEMBESIAN)</v>
      </c>
      <c r="G181" s="1027"/>
      <c r="H181" s="1027"/>
      <c r="I181" s="1492">
        <f>Penjabaran!K649</f>
        <v>102831000</v>
      </c>
      <c r="J181" s="1492"/>
      <c r="K181" s="83">
        <f>'BID II'!F1953</f>
        <v>102831000</v>
      </c>
    </row>
    <row r="182" spans="1:11" x14ac:dyDescent="0.25">
      <c r="A182" s="1"/>
      <c r="B182" s="1"/>
      <c r="C182" s="1"/>
      <c r="D182" s="1">
        <v>5</v>
      </c>
      <c r="E182" s="1">
        <v>3</v>
      </c>
      <c r="F182" s="4" t="str">
        <f>'BID II'!B1939</f>
        <v xml:space="preserve">Belanja Modal </v>
      </c>
      <c r="G182" s="1"/>
      <c r="H182" s="1"/>
      <c r="I182" s="91">
        <f>I181</f>
        <v>102831000</v>
      </c>
      <c r="J182" s="91"/>
      <c r="K182" s="83"/>
    </row>
    <row r="183" spans="1:11" ht="60" x14ac:dyDescent="0.25">
      <c r="A183" s="1027">
        <v>2</v>
      </c>
      <c r="B183" s="1027">
        <v>3</v>
      </c>
      <c r="C183" s="1027">
        <v>12</v>
      </c>
      <c r="D183" s="1027"/>
      <c r="E183" s="1027"/>
      <c r="F183" s="1028" t="str">
        <f>'BID II'!B1968</f>
        <v>: Pembangunan Jalan Usaha Tani (Subak Temaga Munduk Pengiu RABAT BETON)</v>
      </c>
      <c r="G183" s="1027"/>
      <c r="H183" s="1027"/>
      <c r="I183" s="1492">
        <f>Penjabaran!K655</f>
        <v>45980000</v>
      </c>
      <c r="J183" s="1027"/>
      <c r="K183">
        <f>'BID II'!F1991</f>
        <v>45980000</v>
      </c>
    </row>
    <row r="184" spans="1:11" x14ac:dyDescent="0.25">
      <c r="A184" s="1"/>
      <c r="B184" s="1"/>
      <c r="C184" s="1"/>
      <c r="D184" s="1">
        <v>5</v>
      </c>
      <c r="E184" s="1">
        <v>3</v>
      </c>
      <c r="F184" s="4" t="str">
        <f>'BID II'!B1975</f>
        <v xml:space="preserve">Belanja Modal </v>
      </c>
      <c r="G184" s="1"/>
      <c r="H184" s="1"/>
      <c r="I184" s="91">
        <f>I183</f>
        <v>45980000</v>
      </c>
      <c r="J184" s="1"/>
    </row>
    <row r="185" spans="1:11" ht="60" x14ac:dyDescent="0.25">
      <c r="A185" s="1027">
        <v>2</v>
      </c>
      <c r="B185" s="1027">
        <v>3</v>
      </c>
      <c r="C185" s="1027">
        <v>12</v>
      </c>
      <c r="D185" s="1027"/>
      <c r="E185" s="1027"/>
      <c r="F185" s="1028" t="str">
        <f>'BID II'!B2008</f>
        <v>: Pembangunan Jalan Usaha Tani ( Subak Temaga Munduk Pengiu Pembersihan Site)</v>
      </c>
      <c r="G185" s="1027"/>
      <c r="H185" s="1027"/>
      <c r="I185" s="1492">
        <f>Penjabaran!K661</f>
        <v>1723800</v>
      </c>
      <c r="J185" s="1027"/>
      <c r="K185" s="83">
        <f>'BID II'!F2023</f>
        <v>1723800</v>
      </c>
    </row>
    <row r="186" spans="1:11" x14ac:dyDescent="0.25">
      <c r="A186" s="1"/>
      <c r="B186" s="1"/>
      <c r="C186" s="1"/>
      <c r="D186" s="1">
        <v>5</v>
      </c>
      <c r="E186" s="1">
        <v>2</v>
      </c>
      <c r="F186" s="1" t="str">
        <f>'BID II'!B2015</f>
        <v xml:space="preserve">Belanja Modal </v>
      </c>
      <c r="G186" s="1"/>
      <c r="H186" s="1"/>
      <c r="I186" s="91">
        <f>I185</f>
        <v>1723800</v>
      </c>
      <c r="J186" s="1"/>
    </row>
    <row r="187" spans="1:11" ht="75" x14ac:dyDescent="0.25">
      <c r="A187" s="1498">
        <v>2</v>
      </c>
      <c r="B187" s="1498">
        <v>3</v>
      </c>
      <c r="C187" s="1498">
        <v>12</v>
      </c>
      <c r="D187" s="1498"/>
      <c r="E187" s="1498"/>
      <c r="F187" s="1494" t="str">
        <f>'BID II'!B2040</f>
        <v>: Pembangunan Jalan Usaha Tani (Subak Temaga Munduk Pengiu KOLOM PENGUAT BETON BERTULANG 20X20 )</v>
      </c>
      <c r="G187" s="1492"/>
      <c r="H187" s="1492"/>
      <c r="I187" s="1492">
        <f>Penjabaran!K666</f>
        <v>20224560</v>
      </c>
      <c r="J187" s="1492"/>
      <c r="K187">
        <f>'BID II'!F2067</f>
        <v>20224560</v>
      </c>
    </row>
    <row r="188" spans="1:11" x14ac:dyDescent="0.25">
      <c r="A188" s="1"/>
      <c r="B188" s="1"/>
      <c r="C188" s="1"/>
      <c r="D188" s="1">
        <v>5</v>
      </c>
      <c r="E188" s="1">
        <v>3</v>
      </c>
      <c r="F188" s="4" t="str">
        <f>'BID II'!B2047</f>
        <v xml:space="preserve">Belanja Modal </v>
      </c>
      <c r="G188" s="1"/>
      <c r="H188" s="1"/>
      <c r="I188" s="91">
        <f>I187</f>
        <v>20224560</v>
      </c>
      <c r="J188" s="1"/>
    </row>
    <row r="189" spans="1:11" ht="75" x14ac:dyDescent="0.25">
      <c r="A189" s="1027">
        <v>2</v>
      </c>
      <c r="B189" s="1027">
        <v>3</v>
      </c>
      <c r="C189" s="1027">
        <v>12</v>
      </c>
      <c r="D189" s="1027"/>
      <c r="E189" s="1027"/>
      <c r="F189" s="1028" t="str">
        <f>'BID II'!B2081</f>
        <v>: Pembangunan Jalan Usaha Tani (Subak Temaga Munduk Pengiu BEKISTING UNTUK PONDASI)</v>
      </c>
      <c r="G189" s="1027"/>
      <c r="H189" s="1027"/>
      <c r="I189" s="1492">
        <f>Penjabaran!K672</f>
        <v>70946000</v>
      </c>
      <c r="J189" s="1492"/>
      <c r="K189" s="83">
        <f>'BID II'!F2104</f>
        <v>70946000</v>
      </c>
    </row>
    <row r="190" spans="1:11" x14ac:dyDescent="0.25">
      <c r="A190" s="1"/>
      <c r="B190" s="1"/>
      <c r="C190" s="1"/>
      <c r="D190" s="1">
        <v>5</v>
      </c>
      <c r="E190" s="1">
        <v>3</v>
      </c>
      <c r="F190" s="1" t="str">
        <f>'BID II'!B2088</f>
        <v xml:space="preserve">Belanja Modal </v>
      </c>
      <c r="G190" s="1"/>
      <c r="H190" s="1"/>
      <c r="I190" s="91">
        <f>I189</f>
        <v>70946000</v>
      </c>
      <c r="J190" s="1"/>
    </row>
    <row r="191" spans="1:11" ht="75" x14ac:dyDescent="0.25">
      <c r="A191" s="1027">
        <v>2</v>
      </c>
      <c r="B191" s="1027">
        <v>3</v>
      </c>
      <c r="C191" s="1491" t="s">
        <v>2696</v>
      </c>
      <c r="D191" s="1027"/>
      <c r="E191" s="1027"/>
      <c r="F191" s="1028" t="str">
        <f>'BID II'!B2119</f>
        <v>Pemeliharaan Jalan Lingkungan Permukiman Gang Lotus tembus gang pacah ( Pembersihan Site)</v>
      </c>
      <c r="G191" s="1027"/>
      <c r="H191" s="1027"/>
      <c r="I191" s="1492">
        <f>Penjabaran!K678</f>
        <v>2900000</v>
      </c>
      <c r="J191" s="1027"/>
      <c r="K191">
        <f>'BID II'!F2135</f>
        <v>2900000</v>
      </c>
    </row>
    <row r="192" spans="1:11" x14ac:dyDescent="0.25">
      <c r="A192" s="1"/>
      <c r="B192" s="1"/>
      <c r="C192" s="1"/>
      <c r="D192" s="1">
        <v>5</v>
      </c>
      <c r="E192" s="1">
        <v>3</v>
      </c>
      <c r="F192" s="1" t="str">
        <f>'BID II'!B2126</f>
        <v xml:space="preserve">Belanja Modal </v>
      </c>
      <c r="G192" s="1"/>
      <c r="H192" s="1"/>
      <c r="I192" s="91">
        <f>I191</f>
        <v>2900000</v>
      </c>
      <c r="J192" s="1"/>
    </row>
    <row r="193" spans="1:11" ht="60" x14ac:dyDescent="0.25">
      <c r="A193" s="1027">
        <v>2</v>
      </c>
      <c r="B193" s="1027">
        <v>3</v>
      </c>
      <c r="C193" s="1491" t="s">
        <v>2696</v>
      </c>
      <c r="D193" s="1027"/>
      <c r="E193" s="1027"/>
      <c r="F193" s="1028" t="str">
        <f>'BID II'!B2148</f>
        <v>Pemeliharaan Jalan Lingkungan Permukiman Gang Lotus Tembus Gang Pacah( Galian)</v>
      </c>
      <c r="G193" s="1027"/>
      <c r="H193" s="1027"/>
      <c r="I193" s="1492">
        <f>Penjabaran!K683</f>
        <v>2187900</v>
      </c>
      <c r="J193" s="1027"/>
      <c r="K193">
        <f>'BID II'!F2164:F2164</f>
        <v>2187900</v>
      </c>
    </row>
    <row r="194" spans="1:11" x14ac:dyDescent="0.25">
      <c r="A194" s="1"/>
      <c r="B194" s="1"/>
      <c r="C194" s="1"/>
      <c r="D194" s="1">
        <v>5</v>
      </c>
      <c r="E194" s="1">
        <v>3</v>
      </c>
      <c r="F194" s="1" t="str">
        <f>'BID II'!B2155</f>
        <v xml:space="preserve">Belanja Modal </v>
      </c>
      <c r="G194" s="1"/>
      <c r="H194" s="1"/>
      <c r="I194" s="91">
        <f>I193</f>
        <v>2187900</v>
      </c>
      <c r="J194" s="1"/>
    </row>
    <row r="195" spans="1:11" ht="75" x14ac:dyDescent="0.25">
      <c r="A195" s="1027">
        <v>2</v>
      </c>
      <c r="B195" s="1027">
        <v>3</v>
      </c>
      <c r="C195" s="1491" t="s">
        <v>2696</v>
      </c>
      <c r="D195" s="1027"/>
      <c r="E195" s="1027"/>
      <c r="F195" s="1028" t="str">
        <f>'BID II'!B2187</f>
        <v>Pemeliharaan Jalan Lingkungan Permukiman Gang Lotus Tembus Gang Pacah ( PONDASI BATU KALI)</v>
      </c>
      <c r="G195" s="1027"/>
      <c r="H195" s="1027"/>
      <c r="I195" s="1492">
        <f>Penjabaran!K688</f>
        <v>22241320</v>
      </c>
      <c r="J195" s="1492"/>
      <c r="K195" s="83">
        <f>'BID II'!F2216</f>
        <v>22241320</v>
      </c>
    </row>
    <row r="196" spans="1:11" x14ac:dyDescent="0.25">
      <c r="A196" s="1"/>
      <c r="B196" s="1"/>
      <c r="C196" s="1"/>
      <c r="D196" s="1">
        <v>5</v>
      </c>
      <c r="E196" s="1">
        <v>3</v>
      </c>
      <c r="F196" s="4" t="str">
        <f>'BID II'!B2194</f>
        <v xml:space="preserve">Belanja Modal </v>
      </c>
      <c r="G196" s="1"/>
      <c r="H196" s="1"/>
      <c r="I196" s="91">
        <f>I195</f>
        <v>22241320</v>
      </c>
      <c r="J196" s="1"/>
    </row>
    <row r="197" spans="1:11" ht="75" x14ac:dyDescent="0.25">
      <c r="A197" s="1027">
        <v>2</v>
      </c>
      <c r="B197" s="1027">
        <v>3</v>
      </c>
      <c r="C197" s="1491" t="s">
        <v>2696</v>
      </c>
      <c r="D197" s="1027"/>
      <c r="E197" s="1027"/>
      <c r="F197" s="1028" t="str">
        <f>'BID II'!B2244</f>
        <v>Pemeliharaan Jalan Lingkungan Permukiman Gang Lotus Tembus Gang Pacah ( Pondasi Beton Bertulang)</v>
      </c>
      <c r="G197" s="1027"/>
      <c r="H197" s="1027"/>
      <c r="I197" s="1492">
        <f>Penjabaran!K694</f>
        <v>10202320</v>
      </c>
      <c r="J197" s="1492"/>
      <c r="K197" s="83">
        <f>'BID II'!F2266</f>
        <v>10202320</v>
      </c>
    </row>
    <row r="198" spans="1:11" x14ac:dyDescent="0.25">
      <c r="A198" s="1"/>
      <c r="B198" s="1"/>
      <c r="C198" s="1"/>
      <c r="D198" s="1">
        <v>5</v>
      </c>
      <c r="E198" s="1">
        <v>3</v>
      </c>
      <c r="F198" s="4" t="str">
        <f>'BID II'!B2251</f>
        <v xml:space="preserve">Belanja Modal </v>
      </c>
      <c r="G198" s="1"/>
      <c r="H198" s="1"/>
      <c r="I198" s="91">
        <f>I197</f>
        <v>10202320</v>
      </c>
      <c r="J198" s="1"/>
    </row>
    <row r="199" spans="1:11" ht="75" x14ac:dyDescent="0.25">
      <c r="A199" s="1027">
        <v>2</v>
      </c>
      <c r="B199" s="1027">
        <v>3</v>
      </c>
      <c r="C199" s="1491" t="s">
        <v>2696</v>
      </c>
      <c r="D199" s="1027"/>
      <c r="E199" s="1027"/>
      <c r="F199" s="1028" t="str">
        <f>'BID II'!B2285</f>
        <v>Pemeliharaan Jalan Lingkungan Permukiman Gang Lotus Tembus Gang Pacah ( COR PLAT PENUTUP GOT)</v>
      </c>
      <c r="G199" s="1027"/>
      <c r="H199" s="1027"/>
      <c r="I199" s="1492">
        <f>Penjabaran!K700</f>
        <v>12235526</v>
      </c>
      <c r="J199" s="1027"/>
      <c r="K199" s="83">
        <f>'BID II'!F2307</f>
        <v>12235526</v>
      </c>
    </row>
    <row r="200" spans="1:11" x14ac:dyDescent="0.25">
      <c r="A200" s="1"/>
      <c r="B200" s="1"/>
      <c r="C200" s="1"/>
      <c r="D200" s="1">
        <v>5</v>
      </c>
      <c r="E200" s="1">
        <v>3</v>
      </c>
      <c r="F200" s="4" t="str">
        <f>'BID II'!B2292</f>
        <v xml:space="preserve">Belanja Modal </v>
      </c>
      <c r="G200" s="1"/>
      <c r="H200" s="1"/>
      <c r="I200" s="91">
        <f>I199</f>
        <v>12235526</v>
      </c>
      <c r="J200" s="1"/>
    </row>
    <row r="201" spans="1:11" ht="60" x14ac:dyDescent="0.25">
      <c r="A201" s="1027">
        <v>2</v>
      </c>
      <c r="B201" s="1027">
        <v>3</v>
      </c>
      <c r="C201" s="1491" t="s">
        <v>2696</v>
      </c>
      <c r="D201" s="1027"/>
      <c r="E201" s="1027"/>
      <c r="F201" s="1028" t="str">
        <f>'BID II'!B2329</f>
        <v>Pemeliharaan Jalan Lingkungan Permukiman Gang Lotus Tembus Gang Pacah ( PEMBESIAN)</v>
      </c>
      <c r="G201" s="1027"/>
      <c r="H201" s="1027"/>
      <c r="I201" s="1492">
        <f>Penjabaran!K706</f>
        <v>63348640</v>
      </c>
      <c r="J201" s="1027"/>
      <c r="K201" s="83">
        <f>'BID II'!F2349</f>
        <v>63348640</v>
      </c>
    </row>
    <row r="202" spans="1:11" x14ac:dyDescent="0.25">
      <c r="A202" s="1"/>
      <c r="B202" s="1"/>
      <c r="C202" s="1"/>
      <c r="D202" s="1">
        <v>5</v>
      </c>
      <c r="E202" s="1">
        <v>3</v>
      </c>
      <c r="F202" s="4" t="str">
        <f>'BID II'!B2336</f>
        <v xml:space="preserve">Belanja Modal </v>
      </c>
      <c r="G202" s="1"/>
      <c r="H202" s="1"/>
      <c r="I202" s="91">
        <f>I201</f>
        <v>63348640</v>
      </c>
      <c r="J202" s="1"/>
    </row>
    <row r="203" spans="1:11" ht="60" x14ac:dyDescent="0.25">
      <c r="A203" s="1027">
        <v>2</v>
      </c>
      <c r="B203" s="1027">
        <v>3</v>
      </c>
      <c r="C203" s="1491" t="s">
        <v>2696</v>
      </c>
      <c r="D203" s="1027"/>
      <c r="E203" s="1027"/>
      <c r="F203" s="1028" t="str">
        <f>'BID II'!B2372</f>
        <v>Pemeliharaan Jalan Lingkungan Permukiman Gang Lotus Tembus Gang Pacah (URUGAN)</v>
      </c>
      <c r="G203" s="1027"/>
      <c r="H203" s="1027"/>
      <c r="I203" s="1492">
        <f>Penjabaran!K712</f>
        <v>10848580</v>
      </c>
      <c r="J203" s="1027"/>
      <c r="K203">
        <f>'BID II'!F2395</f>
        <v>10848580</v>
      </c>
    </row>
    <row r="204" spans="1:11" x14ac:dyDescent="0.25">
      <c r="A204" s="1"/>
      <c r="B204" s="1"/>
      <c r="C204" s="1"/>
      <c r="D204" s="1">
        <v>5</v>
      </c>
      <c r="E204" s="1">
        <v>3</v>
      </c>
      <c r="F204" s="1" t="str">
        <f>'BID II'!B2379</f>
        <v xml:space="preserve">Belanja Modal </v>
      </c>
      <c r="G204" s="1"/>
      <c r="H204" s="1"/>
      <c r="I204" s="91">
        <f>I203</f>
        <v>10848580</v>
      </c>
      <c r="J204" s="1"/>
    </row>
    <row r="205" spans="1:11" ht="60" x14ac:dyDescent="0.25">
      <c r="A205" s="1027">
        <v>2</v>
      </c>
      <c r="B205" s="1027">
        <v>3</v>
      </c>
      <c r="C205" s="1491" t="s">
        <v>2696</v>
      </c>
      <c r="D205" s="1027"/>
      <c r="E205" s="1027"/>
      <c r="F205" s="1028" t="str">
        <f>'BID II'!B2418</f>
        <v>Pemeliharaan Jalan Lingkungan Permukiman Gang Lotus Tembus Gang Pacah ( COR JALAN)</v>
      </c>
      <c r="G205" s="1027"/>
      <c r="H205" s="1027"/>
      <c r="I205" s="1492">
        <f>Penjabaran!K719</f>
        <v>11837960</v>
      </c>
      <c r="J205" s="1492"/>
      <c r="K205" s="83">
        <f>'BID II'!F2440</f>
        <v>11837960</v>
      </c>
    </row>
    <row r="206" spans="1:11" x14ac:dyDescent="0.25">
      <c r="A206" s="1"/>
      <c r="B206" s="1"/>
      <c r="C206" s="1"/>
      <c r="D206" s="1">
        <v>5</v>
      </c>
      <c r="E206" s="1">
        <v>3</v>
      </c>
      <c r="F206" s="4" t="str">
        <f>'BID II'!B2425</f>
        <v xml:space="preserve">Belanja Modal </v>
      </c>
      <c r="G206" s="1"/>
      <c r="H206" s="1"/>
      <c r="I206" s="91">
        <f>I205</f>
        <v>11837960</v>
      </c>
      <c r="J206" s="1"/>
    </row>
    <row r="207" spans="1:11" ht="75" x14ac:dyDescent="0.25">
      <c r="A207" s="1027">
        <v>2</v>
      </c>
      <c r="B207" s="1027">
        <v>3</v>
      </c>
      <c r="C207" s="1491" t="s">
        <v>2696</v>
      </c>
      <c r="D207" s="1027"/>
      <c r="E207" s="1027"/>
      <c r="F207" s="1028" t="str">
        <f>'BID II'!B2466</f>
        <v>Pemeliharaan Jalan Lingkungan Permukiman Gang Lotus Pembus Gang Pacah ( BEKISTING PONDASI)</v>
      </c>
      <c r="G207" s="1027"/>
      <c r="H207" s="1027"/>
      <c r="I207" s="1492">
        <f>Penjabaran!K725</f>
        <v>5679060</v>
      </c>
      <c r="J207" s="1027"/>
      <c r="K207" s="83">
        <f>'BID II'!F2489</f>
        <v>5679060</v>
      </c>
    </row>
    <row r="208" spans="1:11" x14ac:dyDescent="0.25">
      <c r="A208" s="1"/>
      <c r="B208" s="1"/>
      <c r="C208" s="1"/>
      <c r="D208" s="1">
        <v>5</v>
      </c>
      <c r="E208" s="1">
        <v>3</v>
      </c>
      <c r="F208" s="4" t="str">
        <f>'BID II'!B2473</f>
        <v xml:space="preserve">Belanja Modal </v>
      </c>
      <c r="G208" s="1"/>
      <c r="H208" s="1"/>
      <c r="I208" s="91">
        <f>I207</f>
        <v>5679060</v>
      </c>
      <c r="J208" s="1"/>
    </row>
    <row r="209" spans="1:11" ht="75" x14ac:dyDescent="0.25">
      <c r="A209" s="1027">
        <v>2</v>
      </c>
      <c r="B209" s="1027">
        <v>3</v>
      </c>
      <c r="C209" s="1491" t="s">
        <v>2696</v>
      </c>
      <c r="D209" s="1027"/>
      <c r="E209" s="1027"/>
      <c r="F209" s="1028" t="str">
        <f>'BID II'!B2519</f>
        <v>Pemeliharaan Jalan Lingkungan Permukiman Gang Lotus Tembus Gang Pacah( BEKISTING PLAT TUTUP GOT)</v>
      </c>
      <c r="G209" s="1027"/>
      <c r="H209" s="1027"/>
      <c r="I209" s="1492">
        <f>Penjabaran!K731</f>
        <v>4641400</v>
      </c>
      <c r="J209" s="1027"/>
      <c r="K209" s="83">
        <f>'BID II'!F2539</f>
        <v>4641400</v>
      </c>
    </row>
    <row r="210" spans="1:11" x14ac:dyDescent="0.25">
      <c r="A210" s="1"/>
      <c r="B210" s="1"/>
      <c r="C210" s="1"/>
      <c r="D210" s="1">
        <v>5</v>
      </c>
      <c r="E210" s="1">
        <v>3</v>
      </c>
      <c r="F210" s="1" t="str">
        <f>'BID II'!B2526</f>
        <v xml:space="preserve">Belanja Modal </v>
      </c>
      <c r="G210" s="1"/>
      <c r="H210" s="1"/>
      <c r="I210" s="91">
        <f>I209</f>
        <v>4641400</v>
      </c>
      <c r="J210" s="1"/>
    </row>
    <row r="211" spans="1:11" ht="60" x14ac:dyDescent="0.25">
      <c r="A211" s="1027">
        <v>2</v>
      </c>
      <c r="B211" s="1027">
        <v>3</v>
      </c>
      <c r="C211" s="1491" t="s">
        <v>2696</v>
      </c>
      <c r="D211" s="1027"/>
      <c r="E211" s="1027"/>
      <c r="F211" s="1028" t="str">
        <f>'BID II'!B2637</f>
        <v>Pemeliharaan Jalan Lingkungan Permukiman /Gang Sekar Sari III (Pemavingan)</v>
      </c>
      <c r="G211" s="1027"/>
      <c r="H211" s="1027"/>
      <c r="I211" s="1492">
        <f>Penjabaran!K737</f>
        <v>76958000</v>
      </c>
      <c r="J211" s="1027"/>
      <c r="K211" s="83">
        <f>'BID II'!F2662</f>
        <v>76958000</v>
      </c>
    </row>
    <row r="212" spans="1:11" x14ac:dyDescent="0.25">
      <c r="A212" s="1"/>
      <c r="B212" s="1"/>
      <c r="C212" s="1"/>
      <c r="D212" s="1">
        <v>5</v>
      </c>
      <c r="E212" s="1">
        <v>3</v>
      </c>
      <c r="F212" s="4" t="str">
        <f>'BID II'!B2644</f>
        <v xml:space="preserve">Belanja Modal </v>
      </c>
      <c r="G212" s="1"/>
      <c r="H212" s="1"/>
      <c r="I212" s="91">
        <f>I211</f>
        <v>76958000</v>
      </c>
      <c r="J212" s="1"/>
    </row>
    <row r="213" spans="1:11" ht="60" x14ac:dyDescent="0.25">
      <c r="A213" s="1027">
        <v>2</v>
      </c>
      <c r="B213" s="1027">
        <v>3</v>
      </c>
      <c r="C213" s="1491" t="s">
        <v>2696</v>
      </c>
      <c r="D213" s="1027"/>
      <c r="E213" s="1027"/>
      <c r="F213" s="1028" t="str">
        <f>'BID II'!B2675</f>
        <v>Pemeliharaan Jalan Lingkungan Permukiman /Gang Sekar Sari III (Beton Pengunci)</v>
      </c>
      <c r="G213" s="1027"/>
      <c r="H213" s="1027"/>
      <c r="I213" s="1492">
        <f>Penjabaran!K743</f>
        <v>21529000</v>
      </c>
      <c r="J213" s="1492"/>
      <c r="K213" s="83">
        <f>'BID II'!F2697</f>
        <v>21529000</v>
      </c>
    </row>
    <row r="214" spans="1:11" x14ac:dyDescent="0.25">
      <c r="A214" s="1"/>
      <c r="B214" s="1"/>
      <c r="C214" s="1"/>
      <c r="D214" s="1">
        <v>5</v>
      </c>
      <c r="E214" s="1">
        <v>3</v>
      </c>
      <c r="F214" s="1" t="str">
        <f>'BID II'!B2682</f>
        <v xml:space="preserve">Belanja Modal </v>
      </c>
      <c r="G214" s="1"/>
      <c r="H214" s="1"/>
      <c r="I214" s="91">
        <f>I213</f>
        <v>21529000</v>
      </c>
      <c r="J214" s="1"/>
    </row>
    <row r="215" spans="1:11" ht="60" x14ac:dyDescent="0.25">
      <c r="A215" s="1027">
        <v>2</v>
      </c>
      <c r="B215" s="1027">
        <v>3</v>
      </c>
      <c r="C215" s="1491" t="s">
        <v>2694</v>
      </c>
      <c r="D215" s="1027"/>
      <c r="E215" s="1027"/>
      <c r="F215" s="1028" t="str">
        <f>'BID II'!B2711</f>
        <v>: Pemeliharaan Jalan Usaha Tani (Perbaikan Subak Temaga Munduk Pengiu pembersihan site)</v>
      </c>
      <c r="G215" s="1027"/>
      <c r="H215" s="1027"/>
      <c r="I215" s="1492">
        <f>Penjabaran!K749</f>
        <v>3203200</v>
      </c>
      <c r="J215" s="1027"/>
      <c r="K215">
        <f>'BID II'!F2727</f>
        <v>3203200</v>
      </c>
    </row>
    <row r="216" spans="1:11" x14ac:dyDescent="0.25">
      <c r="A216" s="1"/>
      <c r="B216" s="1"/>
      <c r="C216" s="1"/>
      <c r="D216" s="1">
        <v>5</v>
      </c>
      <c r="E216" s="1">
        <v>3</v>
      </c>
      <c r="F216" s="4" t="str">
        <f>'BID II'!B2718</f>
        <v xml:space="preserve">Belanja Modal </v>
      </c>
      <c r="G216" s="1"/>
      <c r="H216" s="1"/>
      <c r="I216" s="91">
        <f>I215</f>
        <v>3203200</v>
      </c>
      <c r="J216" s="1"/>
    </row>
    <row r="217" spans="1:11" ht="60" x14ac:dyDescent="0.25">
      <c r="A217" s="1027">
        <v>2</v>
      </c>
      <c r="B217" s="1027">
        <v>3</v>
      </c>
      <c r="C217" s="1491" t="s">
        <v>2694</v>
      </c>
      <c r="D217" s="1027"/>
      <c r="E217" s="1027"/>
      <c r="F217" s="1028" t="str">
        <f>'BID II'!B2743</f>
        <v>: Pemeliharaan Jalan Usaha Tani (Perbaikan Subak Temaga Munduk Pengiu PEMAVINGAN)</v>
      </c>
      <c r="G217" s="1027"/>
      <c r="H217" s="1027"/>
      <c r="I217" s="1492">
        <f>Penjabaran!K754</f>
        <v>29551000</v>
      </c>
      <c r="J217" s="1027"/>
      <c r="K217" s="83">
        <f>'BID II'!F2768</f>
        <v>29551000</v>
      </c>
    </row>
    <row r="218" spans="1:11" x14ac:dyDescent="0.25">
      <c r="A218" s="1"/>
      <c r="B218" s="1"/>
      <c r="C218" s="1"/>
      <c r="D218" s="1">
        <v>5</v>
      </c>
      <c r="E218" s="1">
        <v>3</v>
      </c>
      <c r="F218" s="4" t="str">
        <f>'BID II'!B2750</f>
        <v xml:space="preserve">Belanja Modal </v>
      </c>
      <c r="G218" s="1"/>
      <c r="H218" s="1"/>
      <c r="I218" s="91">
        <f>I217</f>
        <v>29551000</v>
      </c>
      <c r="J218" s="1"/>
    </row>
    <row r="219" spans="1:11" ht="30" x14ac:dyDescent="0.25">
      <c r="A219" s="1027">
        <v>2</v>
      </c>
      <c r="B219" s="1027">
        <v>4</v>
      </c>
      <c r="C219" s="1491" t="s">
        <v>2701</v>
      </c>
      <c r="D219" s="1027"/>
      <c r="E219" s="1027"/>
      <c r="F219" s="1028" t="str">
        <f>'BID II'!B2784</f>
        <v>: Kegiatan Pengelolaan Sampah Tingkat Desa</v>
      </c>
      <c r="G219" s="1027"/>
      <c r="H219" s="1027"/>
      <c r="I219" s="1492">
        <f>Penjabaran!K760</f>
        <v>524669000</v>
      </c>
      <c r="J219" s="1492"/>
      <c r="K219" s="83">
        <f>'BID II'!F2851</f>
        <v>524669000</v>
      </c>
    </row>
    <row r="220" spans="1:11" x14ac:dyDescent="0.25">
      <c r="A220" s="1"/>
      <c r="B220" s="1"/>
      <c r="C220" s="1"/>
      <c r="D220" s="1">
        <v>5</v>
      </c>
      <c r="E220" s="1">
        <v>2</v>
      </c>
      <c r="F220" s="4" t="str">
        <f>'BID II'!B2789</f>
        <v xml:space="preserve">Belanja Barang dan Jasa </v>
      </c>
      <c r="G220" s="1"/>
      <c r="H220" s="1"/>
      <c r="I220" s="91">
        <f>I219</f>
        <v>524669000</v>
      </c>
      <c r="J220" s="1"/>
      <c r="K220" s="32">
        <f>K219-I219</f>
        <v>0</v>
      </c>
    </row>
    <row r="221" spans="1:11" ht="45" x14ac:dyDescent="0.25">
      <c r="A221" s="1027">
        <v>2</v>
      </c>
      <c r="B221" s="1027">
        <v>4</v>
      </c>
      <c r="C221" s="1491" t="s">
        <v>2701</v>
      </c>
      <c r="D221" s="1027"/>
      <c r="E221" s="1027"/>
      <c r="F221" s="1028" t="str">
        <f>'BID II'!B2866</f>
        <v>: Kegiatan Pengelolaan Sampah Tingkat Desa (Oprasional TPS3R)</v>
      </c>
      <c r="G221" s="1027"/>
      <c r="H221" s="1027"/>
      <c r="I221" s="1492">
        <f>Penjabaran!K773</f>
        <v>185773100</v>
      </c>
      <c r="J221" s="1492"/>
      <c r="K221" s="83">
        <f>'BID II'!F2927</f>
        <v>185773100</v>
      </c>
    </row>
    <row r="222" spans="1:11" x14ac:dyDescent="0.25">
      <c r="A222" s="1"/>
      <c r="B222" s="1"/>
      <c r="C222" s="1"/>
      <c r="D222" s="1">
        <v>5</v>
      </c>
      <c r="E222" s="1">
        <v>2</v>
      </c>
      <c r="F222" s="4" t="str">
        <f>'BID II'!B2871</f>
        <v>Belanja Barang Jasa</v>
      </c>
      <c r="G222" s="1"/>
      <c r="H222" s="1"/>
      <c r="I222" s="91">
        <f>I221</f>
        <v>185773100</v>
      </c>
      <c r="J222" s="91"/>
      <c r="K222" s="83">
        <f>I221-K221</f>
        <v>0</v>
      </c>
    </row>
    <row r="223" spans="1:11" ht="75" x14ac:dyDescent="0.25">
      <c r="A223" s="1027">
        <v>2</v>
      </c>
      <c r="B223" s="1027">
        <v>4</v>
      </c>
      <c r="C223" s="1491" t="s">
        <v>2701</v>
      </c>
      <c r="D223" s="1027"/>
      <c r="E223" s="1027"/>
      <c r="F223" s="1028" t="str">
        <f>'BID II'!B2942</f>
        <v>: Pemeiliharaan Fasilitas Pengelolaan Sampah Desa/ Pemukiman (Operasional Kegiatan Bank Sampah Desa)</v>
      </c>
      <c r="G223" s="1027"/>
      <c r="H223" s="1027"/>
      <c r="I223" s="1492">
        <f>Penjabaran!K791</f>
        <v>25756700</v>
      </c>
      <c r="J223" s="1027"/>
      <c r="K223">
        <f>'BID II'!F2973</f>
        <v>25756700</v>
      </c>
    </row>
    <row r="224" spans="1:11" x14ac:dyDescent="0.25">
      <c r="A224" s="1"/>
      <c r="B224" s="1"/>
      <c r="C224" s="1"/>
      <c r="D224" s="1">
        <v>5</v>
      </c>
      <c r="E224" s="1">
        <v>2</v>
      </c>
      <c r="F224" s="4" t="str">
        <f>'BID II'!B2947</f>
        <v>Belanja Barang Jasa :</v>
      </c>
      <c r="G224" s="1"/>
      <c r="H224" s="1"/>
      <c r="I224" s="91">
        <f>I223</f>
        <v>25756700</v>
      </c>
      <c r="J224" s="1"/>
    </row>
    <row r="225" spans="1:12" ht="30" x14ac:dyDescent="0.25">
      <c r="A225" s="1027">
        <v>2</v>
      </c>
      <c r="B225" s="1027">
        <v>4</v>
      </c>
      <c r="C225" s="1491" t="s">
        <v>2701</v>
      </c>
      <c r="D225" s="1027"/>
      <c r="E225" s="1027"/>
      <c r="F225" s="1028" t="str">
        <f>'BID II'!B2987</f>
        <v>: Operasional Tim Kebersihan Lingkungan</v>
      </c>
      <c r="G225" s="1027"/>
      <c r="H225" s="1027"/>
      <c r="I225" s="1492">
        <f>Penjabaran!K799</f>
        <v>101391231.8</v>
      </c>
      <c r="J225" s="1492"/>
      <c r="K225" s="83">
        <f>'BID II'!F3020</f>
        <v>101527164.70999996</v>
      </c>
    </row>
    <row r="226" spans="1:12" x14ac:dyDescent="0.25">
      <c r="A226" s="1"/>
      <c r="B226" s="1"/>
      <c r="C226" s="1"/>
      <c r="D226" s="1">
        <v>5</v>
      </c>
      <c r="E226" s="1">
        <v>2</v>
      </c>
      <c r="F226" s="4" t="str">
        <f>'BID II'!B2992</f>
        <v>Belanja Barang dan Jasa :</v>
      </c>
      <c r="G226" s="1"/>
      <c r="H226" s="1"/>
      <c r="I226" s="91">
        <f>I225</f>
        <v>101391231.8</v>
      </c>
      <c r="J226" s="1"/>
    </row>
    <row r="227" spans="1:12" x14ac:dyDescent="0.25">
      <c r="A227" s="1027">
        <v>2</v>
      </c>
      <c r="B227" s="1027">
        <v>4</v>
      </c>
      <c r="C227" s="1491" t="s">
        <v>2701</v>
      </c>
      <c r="D227" s="1027"/>
      <c r="E227" s="1027"/>
      <c r="F227" s="1027" t="str">
        <f>'BID II'!B3034</f>
        <v>: TIM KEBERSIHAN SUNGAI</v>
      </c>
      <c r="G227" s="1027"/>
      <c r="H227" s="1027"/>
      <c r="I227" s="1492">
        <f>Penjabaran!K809</f>
        <v>67974000</v>
      </c>
      <c r="J227" s="1028"/>
      <c r="K227" s="83">
        <f>'BID II'!F3056</f>
        <v>67974000</v>
      </c>
    </row>
    <row r="228" spans="1:12" x14ac:dyDescent="0.25">
      <c r="A228" s="1"/>
      <c r="B228" s="1"/>
      <c r="C228" s="1"/>
      <c r="D228" s="1">
        <v>5</v>
      </c>
      <c r="E228" s="1">
        <v>2</v>
      </c>
      <c r="F228" s="4" t="str">
        <f>'BID II'!B3039</f>
        <v>Belanja Barang dan Jasa :</v>
      </c>
      <c r="G228" s="1"/>
      <c r="H228" s="1"/>
      <c r="I228" s="91">
        <f>I227</f>
        <v>67974000</v>
      </c>
      <c r="J228" s="4"/>
    </row>
    <row r="229" spans="1:12" ht="75" x14ac:dyDescent="0.25">
      <c r="A229" s="1027">
        <v>2</v>
      </c>
      <c r="B229" s="1027">
        <v>4</v>
      </c>
      <c r="C229" s="1491" t="s">
        <v>2701</v>
      </c>
      <c r="D229" s="1027"/>
      <c r="E229" s="1027"/>
      <c r="F229" s="1028" t="str">
        <f>'BID II'!B3102</f>
        <v>: Sosialisasi tentang Lingkungan Hidup dan Kehutanan (Sosialisasi Pemilihan Sampah Rumah Tangga)</v>
      </c>
      <c r="G229" s="1027"/>
      <c r="H229" s="1027"/>
      <c r="I229" s="1492">
        <f>Penjabaran!K816</f>
        <v>24715000</v>
      </c>
      <c r="J229" s="1027"/>
      <c r="K229" s="32">
        <f>'BID II'!F3130</f>
        <v>24715000</v>
      </c>
    </row>
    <row r="230" spans="1:12" x14ac:dyDescent="0.25">
      <c r="A230" s="1"/>
      <c r="B230" s="1"/>
      <c r="C230" s="1"/>
      <c r="D230" s="1">
        <v>5</v>
      </c>
      <c r="E230" s="1">
        <v>2</v>
      </c>
      <c r="F230" s="4" t="str">
        <f>'BID II'!B3108</f>
        <v>Belanja Barang Dan Jasa</v>
      </c>
      <c r="G230" s="1"/>
      <c r="H230" s="1"/>
      <c r="I230" s="91">
        <f>I229</f>
        <v>24715000</v>
      </c>
      <c r="J230" s="1"/>
    </row>
    <row r="231" spans="1:12" ht="75" x14ac:dyDescent="0.25">
      <c r="A231" s="1027">
        <v>2</v>
      </c>
      <c r="B231" s="1027">
        <v>6</v>
      </c>
      <c r="C231" s="1491" t="s">
        <v>2694</v>
      </c>
      <c r="D231" s="1027"/>
      <c r="E231" s="1027"/>
      <c r="F231" s="1028" t="str">
        <f>'BID II'!B3145</f>
        <v>: Penyelenggaraan Informasi Publik Desa ( Pembuatan dan Pemasangan Baliho APBDesa )</v>
      </c>
      <c r="G231" s="1027"/>
      <c r="H231" s="1027"/>
      <c r="I231" s="1492">
        <f>Penjabaran!K825</f>
        <v>3000000</v>
      </c>
      <c r="J231" s="1027"/>
    </row>
    <row r="232" spans="1:12" x14ac:dyDescent="0.25">
      <c r="A232" s="1"/>
      <c r="B232" s="1"/>
      <c r="C232" s="1"/>
      <c r="D232" s="1">
        <v>5</v>
      </c>
      <c r="E232" s="1">
        <v>2</v>
      </c>
      <c r="F232" s="4" t="str">
        <f>'BID II'!B3151</f>
        <v>Belanja Barang Jasa</v>
      </c>
      <c r="G232" s="1"/>
      <c r="H232" s="1"/>
      <c r="I232" s="91">
        <f>I231</f>
        <v>3000000</v>
      </c>
      <c r="J232" s="1"/>
    </row>
    <row r="233" spans="1:12" ht="30" x14ac:dyDescent="0.25">
      <c r="A233" s="1489">
        <v>3</v>
      </c>
      <c r="B233" s="1489"/>
      <c r="C233" s="1489"/>
      <c r="D233" s="1489"/>
      <c r="E233" s="1489"/>
      <c r="F233" s="1490" t="str">
        <f>'BID III'!B5</f>
        <v>: Pembinaan Kemasyarakatan Desa</v>
      </c>
      <c r="G233" s="1489"/>
      <c r="H233" s="1489"/>
      <c r="I233" s="1495" t="e">
        <f>Penjabaran!K829</f>
        <v>#REF!</v>
      </c>
      <c r="J233" s="1489"/>
      <c r="K233" s="83">
        <f>Htungan!Y10</f>
        <v>3536201669</v>
      </c>
      <c r="L233" s="32" t="e">
        <f>I233-K233</f>
        <v>#REF!</v>
      </c>
    </row>
    <row r="234" spans="1:12" ht="75" x14ac:dyDescent="0.25">
      <c r="A234" s="1027">
        <v>3</v>
      </c>
      <c r="B234" s="1027">
        <v>1</v>
      </c>
      <c r="C234" s="1491" t="s">
        <v>2696</v>
      </c>
      <c r="D234" s="1027"/>
      <c r="E234" s="1027"/>
      <c r="F234" s="1028" t="str">
        <f>'BID III'!B7</f>
        <v>:Koordinasi Pembinaan Ketentraman, Ketertiban, dan Perlindungan Masyarakat (Pengamanan Pengerupukan)</v>
      </c>
      <c r="G234" s="1027"/>
      <c r="H234" s="1027"/>
      <c r="I234" s="1492">
        <f>Penjabaran!K830</f>
        <v>6910000</v>
      </c>
      <c r="J234" s="1027"/>
    </row>
    <row r="235" spans="1:12" x14ac:dyDescent="0.25">
      <c r="A235" s="1"/>
      <c r="B235" s="1"/>
      <c r="C235" s="1"/>
      <c r="D235" s="1">
        <v>5</v>
      </c>
      <c r="E235" s="1">
        <v>2</v>
      </c>
      <c r="F235" s="4" t="str">
        <f>'BID III'!B13</f>
        <v>Belanja Barang dan Jasa</v>
      </c>
      <c r="G235" s="1"/>
      <c r="H235" s="1"/>
      <c r="I235" s="91">
        <f>Penjabaran!K831</f>
        <v>0</v>
      </c>
      <c r="J235" s="1"/>
    </row>
    <row r="236" spans="1:12" ht="75" x14ac:dyDescent="0.25">
      <c r="A236" s="1027">
        <v>3</v>
      </c>
      <c r="B236" s="1027">
        <v>1</v>
      </c>
      <c r="C236" s="1491" t="s">
        <v>2696</v>
      </c>
      <c r="D236" s="1027"/>
      <c r="E236" s="1027"/>
      <c r="F236" s="1028" t="str">
        <f>'BID III'!B40</f>
        <v>: Koordinasi Pembinaan Ketentraman, Ketertiban, dan Perlindungan Masyarakat (Pengamanan Tahun Baru)</v>
      </c>
      <c r="G236" s="1027"/>
      <c r="H236" s="1027"/>
      <c r="I236" s="1492">
        <f>Penjabaran!K837</f>
        <v>8540000</v>
      </c>
      <c r="J236" s="1027"/>
    </row>
    <row r="237" spans="1:12" x14ac:dyDescent="0.25">
      <c r="A237" s="1"/>
      <c r="B237" s="1"/>
      <c r="C237" s="1"/>
      <c r="D237" s="1">
        <v>5</v>
      </c>
      <c r="E237" s="1">
        <v>2</v>
      </c>
      <c r="F237" s="4" t="str">
        <f>'BID III'!B46</f>
        <v>Belanja Barang dan Jasa</v>
      </c>
      <c r="G237" s="1"/>
      <c r="H237" s="1"/>
      <c r="I237" s="91">
        <f>Penjabaran!K838</f>
        <v>0</v>
      </c>
      <c r="J237" s="1"/>
    </row>
    <row r="238" spans="1:12" ht="75" x14ac:dyDescent="0.25">
      <c r="A238" s="1027">
        <v>3</v>
      </c>
      <c r="B238" s="1027">
        <v>1</v>
      </c>
      <c r="C238" s="1491" t="s">
        <v>2696</v>
      </c>
      <c r="D238" s="1027"/>
      <c r="E238" s="1027"/>
      <c r="F238" s="1028" t="str">
        <f>'BID III'!B73</f>
        <v>:Koordinasi Pembinaan Ketentraman, Ketertiban, dan Perlindungan Masyarakat (Penjagaan Linmas Desa)</v>
      </c>
      <c r="G238" s="1027"/>
      <c r="H238" s="1027"/>
      <c r="I238" s="1492">
        <f>Penjabaran!K844</f>
        <v>321550000</v>
      </c>
      <c r="J238" s="1027"/>
    </row>
    <row r="239" spans="1:12" x14ac:dyDescent="0.25">
      <c r="A239" s="1"/>
      <c r="B239" s="1"/>
      <c r="C239" s="1"/>
      <c r="D239" s="1">
        <v>5</v>
      </c>
      <c r="E239" s="1">
        <v>2</v>
      </c>
      <c r="F239" s="4" t="str">
        <f>'BID III'!B78</f>
        <v>Belanja Barang Dan Jasa</v>
      </c>
      <c r="G239" s="1"/>
      <c r="H239" s="1"/>
      <c r="I239" s="91">
        <f>Penjabaran!K845</f>
        <v>0</v>
      </c>
      <c r="J239" s="1"/>
    </row>
    <row r="240" spans="1:12" ht="75" x14ac:dyDescent="0.25">
      <c r="A240" s="1027">
        <v>3</v>
      </c>
      <c r="B240" s="1027">
        <v>1</v>
      </c>
      <c r="C240" s="1491" t="s">
        <v>2697</v>
      </c>
      <c r="D240" s="1027"/>
      <c r="E240" s="1027"/>
      <c r="F240" s="1028" t="str">
        <f>'BID III'!B116</f>
        <v>: Pelatihan Kesiapsiagaan/Tanggap Bencana Skala Lokal Desa ( Pelatihan Tanggap Darurat Bencana )</v>
      </c>
      <c r="G240" s="1027"/>
      <c r="H240" s="1027"/>
      <c r="I240" s="1492" t="e">
        <f>Penjabaran!K855</f>
        <v>#REF!</v>
      </c>
      <c r="J240" s="1027"/>
    </row>
    <row r="241" spans="1:11" x14ac:dyDescent="0.25">
      <c r="A241" s="1"/>
      <c r="B241" s="1"/>
      <c r="C241" s="1"/>
      <c r="D241" s="1">
        <v>5</v>
      </c>
      <c r="E241" s="1">
        <v>2</v>
      </c>
      <c r="F241" s="4" t="str">
        <f>'BID III'!B122</f>
        <v>Belanja Barang Dan Jasa</v>
      </c>
      <c r="G241" s="1"/>
      <c r="H241" s="1"/>
      <c r="I241" s="91">
        <f>Penjabaran!K856</f>
        <v>0</v>
      </c>
      <c r="J241" s="1"/>
    </row>
    <row r="242" spans="1:11" ht="75" x14ac:dyDescent="0.25">
      <c r="A242" s="1027">
        <v>3</v>
      </c>
      <c r="B242" s="1027">
        <v>1</v>
      </c>
      <c r="C242" s="1491" t="s">
        <v>2701</v>
      </c>
      <c r="D242" s="1027"/>
      <c r="E242" s="1027"/>
      <c r="F242" s="1028" t="str">
        <f>'BID III'!B189</f>
        <v>:Sosialisasi kepada Masyarakat di Bidang Hukum dan Pelindungan Masyarakat (Pembinaan Keluarga Sadar Hukum)</v>
      </c>
      <c r="G242" s="1027"/>
      <c r="H242" s="1027"/>
      <c r="I242" s="1492">
        <f>Penjabaran!K864</f>
        <v>1220000</v>
      </c>
      <c r="J242" s="1027"/>
    </row>
    <row r="243" spans="1:11" x14ac:dyDescent="0.25">
      <c r="A243" s="1"/>
      <c r="B243" s="1"/>
      <c r="C243" s="1"/>
      <c r="D243" s="1">
        <v>5</v>
      </c>
      <c r="E243" s="1">
        <v>2</v>
      </c>
      <c r="F243" s="4" t="str">
        <f>'BID III'!B195</f>
        <v>Belanja Barang Dan Jasa</v>
      </c>
      <c r="G243" s="1"/>
      <c r="H243" s="1"/>
      <c r="I243" s="91">
        <f>Penjabaran!K865</f>
        <v>0</v>
      </c>
      <c r="J243" s="1"/>
    </row>
    <row r="244" spans="1:11" ht="165" x14ac:dyDescent="0.25">
      <c r="A244" s="1027">
        <v>3</v>
      </c>
      <c r="B244" s="1027">
        <v>2</v>
      </c>
      <c r="C244" s="1491" t="s">
        <v>2696</v>
      </c>
      <c r="D244" s="1027"/>
      <c r="E244" s="1027"/>
      <c r="F244" s="1028" t="str">
        <f>'BID III'!B276</f>
        <v xml:space="preserve">  : Penyelenggaraan Festival Kesenian, Adat / Kebudayaan, dan Keagamaan (Pembinaan dan Lomba Nyurat Aksara Bali Anak SD, Ngwacen Lontar Anak Remaja SMA/SMK, Nyatua Bali Krama Istri Dalam Rangka Penyelenggaraan Bulan Bahasa Bali )</v>
      </c>
      <c r="G244" s="1027"/>
      <c r="H244" s="1027"/>
      <c r="I244" s="1492">
        <f>Penjabaran!K872</f>
        <v>34115000</v>
      </c>
      <c r="J244" s="1027"/>
    </row>
    <row r="245" spans="1:11" x14ac:dyDescent="0.25">
      <c r="A245" s="1"/>
      <c r="B245" s="1"/>
      <c r="C245" s="1"/>
      <c r="D245" s="1">
        <v>5</v>
      </c>
      <c r="E245" s="1">
        <v>2</v>
      </c>
      <c r="F245" s="4" t="str">
        <f>'BID III'!B281</f>
        <v>Belanja Barang Jasa</v>
      </c>
      <c r="G245" s="4"/>
      <c r="H245" s="4"/>
      <c r="I245" s="91">
        <f>Penjabaran!K873</f>
        <v>0</v>
      </c>
      <c r="J245" s="4"/>
    </row>
    <row r="246" spans="1:11" ht="45" x14ac:dyDescent="0.25">
      <c r="A246" s="1027">
        <v>3</v>
      </c>
      <c r="B246" s="1027">
        <v>2</v>
      </c>
      <c r="C246" s="1027">
        <v>90</v>
      </c>
      <c r="D246" s="1027"/>
      <c r="E246" s="1027"/>
      <c r="F246" s="1028" t="str">
        <f>'BID III'!B356</f>
        <v xml:space="preserve"> : Pembinaan Adat dan Keagamaan (Piodalan Padmasana)</v>
      </c>
      <c r="G246" s="1027"/>
      <c r="H246" s="1027"/>
      <c r="I246" s="1492">
        <f>Penjabaran!K895</f>
        <v>17633569</v>
      </c>
      <c r="J246" s="1027"/>
    </row>
    <row r="247" spans="1:11" x14ac:dyDescent="0.25">
      <c r="A247" s="1"/>
      <c r="B247" s="1"/>
      <c r="C247" s="1"/>
      <c r="D247" s="1">
        <v>5</v>
      </c>
      <c r="E247" s="1">
        <v>2</v>
      </c>
      <c r="F247" s="4" t="str">
        <f>'BID III'!B362</f>
        <v xml:space="preserve">Belanja Barang dan Jasa </v>
      </c>
      <c r="G247" s="1"/>
      <c r="H247" s="1"/>
      <c r="I247" s="91">
        <f>Penjabaran!K896</f>
        <v>0</v>
      </c>
      <c r="J247" s="1"/>
    </row>
    <row r="248" spans="1:11" ht="45" x14ac:dyDescent="0.25">
      <c r="A248" s="1027">
        <v>3</v>
      </c>
      <c r="B248" s="1027">
        <v>2</v>
      </c>
      <c r="C248" s="1027">
        <v>90</v>
      </c>
      <c r="D248" s="1027"/>
      <c r="E248" s="1027"/>
      <c r="F248" s="1028" t="str">
        <f>'BID III'!B395</f>
        <v>: Pembinaan Adat dan Keagamaan (Upakara dan Upacara)</v>
      </c>
      <c r="G248" s="1027"/>
      <c r="H248" s="1027"/>
      <c r="I248" s="1492">
        <f>Penjabaran!K900</f>
        <v>6700000</v>
      </c>
      <c r="J248" s="1027"/>
    </row>
    <row r="249" spans="1:11" x14ac:dyDescent="0.25">
      <c r="A249" s="1"/>
      <c r="B249" s="1"/>
      <c r="C249" s="1"/>
      <c r="D249" s="1">
        <v>5</v>
      </c>
      <c r="E249" s="1">
        <v>2</v>
      </c>
      <c r="F249" s="4" t="str">
        <f>'BID III'!B402</f>
        <v xml:space="preserve">Belanja Barang dan Jasa </v>
      </c>
      <c r="G249" s="1"/>
      <c r="H249" s="1"/>
      <c r="I249" s="91">
        <f>Penjabaran!K901</f>
        <v>0</v>
      </c>
      <c r="J249" s="1"/>
    </row>
    <row r="250" spans="1:11" ht="45" x14ac:dyDescent="0.25">
      <c r="A250" s="1027">
        <v>3</v>
      </c>
      <c r="B250" s="1027">
        <v>2</v>
      </c>
      <c r="C250" s="1027">
        <v>90</v>
      </c>
      <c r="D250" s="1027"/>
      <c r="E250" s="1027"/>
      <c r="F250" s="1028" t="str">
        <f>'BID III'!B427</f>
        <v>: Pembinaan Adat dan Keagamaan (Tumpek Landep)</v>
      </c>
      <c r="G250" s="1027"/>
      <c r="H250" s="1027"/>
      <c r="I250" s="1492">
        <f>Penjabaran!K904</f>
        <v>27100000</v>
      </c>
      <c r="J250" s="1027"/>
      <c r="K250" s="32">
        <f>'BID III'!F444</f>
        <v>27100000</v>
      </c>
    </row>
    <row r="251" spans="1:11" x14ac:dyDescent="0.25">
      <c r="A251" s="1"/>
      <c r="B251" s="1"/>
      <c r="C251" s="1"/>
      <c r="D251" s="1">
        <v>5</v>
      </c>
      <c r="E251" s="1">
        <v>2</v>
      </c>
      <c r="F251" s="4" t="str">
        <f>'BID III'!B433</f>
        <v xml:space="preserve">Belanja Barang dan Jasa </v>
      </c>
      <c r="G251" s="1"/>
      <c r="H251" s="1"/>
      <c r="I251" s="91">
        <f>Penjabaran!K905</f>
        <v>0</v>
      </c>
      <c r="J251" s="1"/>
    </row>
    <row r="252" spans="1:11" ht="45" x14ac:dyDescent="0.25">
      <c r="A252" s="1027">
        <v>3</v>
      </c>
      <c r="B252" s="1027">
        <v>2</v>
      </c>
      <c r="C252" s="1027">
        <v>91</v>
      </c>
      <c r="D252" s="1027"/>
      <c r="E252" s="1027"/>
      <c r="F252" s="1028" t="str">
        <f>'BID III'!B457</f>
        <v xml:space="preserve"> : Penunjang Oprasional Subak/Subak Abian (BKKProvinsi)</v>
      </c>
      <c r="G252" s="1027"/>
      <c r="H252" s="1027"/>
      <c r="I252" s="1492">
        <f>Penjabaran!K911</f>
        <v>45000000</v>
      </c>
      <c r="J252" s="1027"/>
    </row>
    <row r="253" spans="1:11" x14ac:dyDescent="0.25">
      <c r="A253" s="1"/>
      <c r="B253" s="1"/>
      <c r="C253" s="1"/>
      <c r="D253" s="1">
        <v>5</v>
      </c>
      <c r="E253" s="1">
        <v>2</v>
      </c>
      <c r="F253" s="4" t="str">
        <f>'BID III'!B462</f>
        <v>Belanja Barang Jasa</v>
      </c>
      <c r="G253" s="1"/>
      <c r="H253" s="1"/>
      <c r="I253" s="91">
        <f>Penjabaran!K912</f>
        <v>0</v>
      </c>
      <c r="J253" s="1"/>
    </row>
    <row r="254" spans="1:11" ht="30" x14ac:dyDescent="0.25">
      <c r="A254" s="1027">
        <v>3</v>
      </c>
      <c r="B254" s="1027">
        <v>2</v>
      </c>
      <c r="C254" s="1027">
        <v>94</v>
      </c>
      <c r="D254" s="1027"/>
      <c r="E254" s="1027"/>
      <c r="F254" s="1028" t="str">
        <f>'BID III'!B480</f>
        <v xml:space="preserve"> : Penunjang Oprasional Desa Pakraman(BKK Kota)</v>
      </c>
      <c r="G254" s="1027"/>
      <c r="H254" s="1027"/>
      <c r="I254" s="1492">
        <f>Penjabaran!K914</f>
        <v>2030000000</v>
      </c>
      <c r="J254" s="1027"/>
    </row>
    <row r="255" spans="1:11" x14ac:dyDescent="0.25">
      <c r="A255" s="1"/>
      <c r="B255" s="1"/>
      <c r="C255" s="1"/>
      <c r="D255" s="1">
        <v>5</v>
      </c>
      <c r="E255" s="1">
        <v>2</v>
      </c>
      <c r="F255" s="4" t="s">
        <v>2736</v>
      </c>
      <c r="G255" s="1"/>
      <c r="H255" s="1"/>
      <c r="I255" s="91">
        <f>Penjabaran!K915</f>
        <v>0</v>
      </c>
      <c r="J255" s="1"/>
    </row>
    <row r="256" spans="1:11" ht="30" x14ac:dyDescent="0.25">
      <c r="A256" s="1027">
        <v>3</v>
      </c>
      <c r="B256" s="1027">
        <v>2</v>
      </c>
      <c r="C256" s="1027">
        <v>95</v>
      </c>
      <c r="D256" s="1027"/>
      <c r="E256" s="1027"/>
      <c r="F256" s="1028" t="str">
        <f>'BID III'!B503</f>
        <v>: Kegiatan Bakti Penganyaran</v>
      </c>
      <c r="G256" s="1027"/>
      <c r="H256" s="1027"/>
      <c r="I256" s="1492">
        <f>Penjabaran!K917</f>
        <v>225000000</v>
      </c>
      <c r="J256" s="1027"/>
      <c r="K256" s="36">
        <f>'BID III'!F536</f>
        <v>225000000</v>
      </c>
    </row>
    <row r="257" spans="1:11" x14ac:dyDescent="0.25">
      <c r="A257" s="1"/>
      <c r="B257" s="1"/>
      <c r="C257" s="1"/>
      <c r="D257" s="1">
        <v>5</v>
      </c>
      <c r="E257" s="1">
        <v>2</v>
      </c>
      <c r="F257" s="4" t="str">
        <f>'BID III'!B511</f>
        <v xml:space="preserve">Belanja Barang dan Jasa </v>
      </c>
      <c r="G257" s="1"/>
      <c r="H257" s="1"/>
      <c r="I257" s="91">
        <f>Penjabaran!K918</f>
        <v>0</v>
      </c>
      <c r="J257" s="1"/>
    </row>
    <row r="258" spans="1:11" ht="165" x14ac:dyDescent="0.25">
      <c r="A258" s="1027">
        <v>3</v>
      </c>
      <c r="B258" s="1027">
        <v>3</v>
      </c>
      <c r="C258" s="1491" t="s">
        <v>2694</v>
      </c>
      <c r="D258" s="1027"/>
      <c r="E258" s="1027"/>
      <c r="F258" s="1028" t="str">
        <f>'BID III'!B550</f>
        <v xml:space="preserve">: Penyelenggaraan Pelatihan Kepemudaan  ( Pelatihan dan Lomba Menggambar Karakter Bung Karno Tingkat SMP, Menyanyikan Lagu Wajib Kebangsaan Tingkat SD, Membaca Undang-undang Dasar 45 Tingkat SD Dalam Rangka Bulan Bung Karno Tahun 2025 ) </v>
      </c>
      <c r="G258" s="1027"/>
      <c r="H258" s="1027"/>
      <c r="I258" s="1492">
        <f>Penjabaran!K921</f>
        <v>35874000</v>
      </c>
      <c r="J258" s="1027"/>
      <c r="K258" s="32">
        <f>'BID III'!F619</f>
        <v>35874000</v>
      </c>
    </row>
    <row r="259" spans="1:11" x14ac:dyDescent="0.25">
      <c r="A259" s="1"/>
      <c r="B259" s="1"/>
      <c r="C259" s="1"/>
      <c r="D259" s="1">
        <v>5</v>
      </c>
      <c r="E259" s="1">
        <v>2</v>
      </c>
      <c r="F259" s="4" t="str">
        <f>'BID III'!B555</f>
        <v>Belanja Barang Jasa</v>
      </c>
      <c r="G259" s="1"/>
      <c r="H259" s="1"/>
      <c r="I259" s="91">
        <f>Penjabaran!K922</f>
        <v>0</v>
      </c>
      <c r="J259" s="1"/>
      <c r="K259" s="32">
        <f>I258-K258</f>
        <v>0</v>
      </c>
    </row>
    <row r="260" spans="1:11" ht="105" x14ac:dyDescent="0.25">
      <c r="A260" s="1027">
        <v>3</v>
      </c>
      <c r="B260" s="1027">
        <v>3</v>
      </c>
      <c r="C260" s="1491" t="s">
        <v>2694</v>
      </c>
      <c r="D260" s="1027"/>
      <c r="E260" s="1027"/>
      <c r="F260" s="1028" t="str">
        <f>'BID III'!B632</f>
        <v>: Lomba Yel-Yel Bung Karno Tingkat Guru Paud, Lomba Kuis Siapa Bisa Tingkat PKK dan Lomba Cerdas Cermat Tingkat SMP di Tingkat Kecamatan</v>
      </c>
      <c r="G260" s="1027"/>
      <c r="H260" s="1027"/>
      <c r="I260" s="1492">
        <f>Penjabaran!K945</f>
        <v>59400000</v>
      </c>
      <c r="J260" s="1027"/>
      <c r="K260" s="32">
        <f>'BID III'!F687</f>
        <v>59400000</v>
      </c>
    </row>
    <row r="261" spans="1:11" ht="60" x14ac:dyDescent="0.25">
      <c r="A261" s="1"/>
      <c r="B261" s="1"/>
      <c r="C261" s="1"/>
      <c r="D261" s="1"/>
      <c r="E261" s="1"/>
      <c r="F261" s="4" t="str">
        <f>'BID III'!B637</f>
        <v xml:space="preserve">Pengiriman 1 Regu Peserta Lomba Yel-Yel Bung Karno Tingkat Guru Paud  ( 1 Regu 11 Orang ) </v>
      </c>
      <c r="G261" s="1"/>
      <c r="H261" s="1"/>
      <c r="I261" s="91">
        <f>Penjabaran!K946</f>
        <v>0</v>
      </c>
      <c r="J261" s="1"/>
      <c r="K261" s="32">
        <f>I260-K260</f>
        <v>0</v>
      </c>
    </row>
    <row r="262" spans="1:11" x14ac:dyDescent="0.25">
      <c r="A262" s="1"/>
      <c r="B262" s="1"/>
      <c r="C262" s="1"/>
      <c r="D262" s="1">
        <v>5</v>
      </c>
      <c r="E262" s="1">
        <v>2</v>
      </c>
      <c r="F262" s="4" t="str">
        <f>'BID III'!B638</f>
        <v>Belanja Barang Jasa</v>
      </c>
      <c r="G262" s="1"/>
      <c r="H262" s="1"/>
      <c r="I262" s="91">
        <f>Penjabaran!K947</f>
        <v>0</v>
      </c>
      <c r="J262" s="1"/>
    </row>
    <row r="263" spans="1:11" ht="30" x14ac:dyDescent="0.25">
      <c r="A263" s="1027">
        <v>3</v>
      </c>
      <c r="B263" s="1027">
        <v>3</v>
      </c>
      <c r="C263" s="1491" t="s">
        <v>2700</v>
      </c>
      <c r="D263" s="1027"/>
      <c r="E263" s="1027"/>
      <c r="F263" s="1028" t="str">
        <f>'BID III'!B702</f>
        <v>: Pembinaan Karang Taruna</v>
      </c>
      <c r="G263" s="1027"/>
      <c r="H263" s="1027"/>
      <c r="I263" s="1492">
        <f>Penjabaran!K974</f>
        <v>40175000</v>
      </c>
      <c r="J263" s="1027"/>
      <c r="K263" s="32">
        <f>'BID III'!F723</f>
        <v>40175000</v>
      </c>
    </row>
    <row r="264" spans="1:11" x14ac:dyDescent="0.25">
      <c r="A264" s="1"/>
      <c r="B264" s="1"/>
      <c r="C264" s="1"/>
      <c r="D264" s="1">
        <v>5</v>
      </c>
      <c r="E264" s="1">
        <v>2</v>
      </c>
      <c r="F264" s="4" t="str">
        <f>'BID III'!B708</f>
        <v>Belanja Barang Jasa</v>
      </c>
      <c r="G264" s="1"/>
      <c r="H264" s="1"/>
      <c r="I264" s="91">
        <f>Penjabaran!K975</f>
        <v>0</v>
      </c>
      <c r="J264" s="1"/>
    </row>
    <row r="265" spans="1:11" ht="45" x14ac:dyDescent="0.25">
      <c r="A265" s="1498">
        <v>3</v>
      </c>
      <c r="B265" s="1498">
        <v>3</v>
      </c>
      <c r="C265" s="1498">
        <v>90</v>
      </c>
      <c r="D265" s="1498"/>
      <c r="E265" s="1498"/>
      <c r="F265" s="1494" t="str">
        <f>'BID III'!B735</f>
        <v>: Penunjang Kegiatan Ekonomi Produktif untuk Sekeha Teruna (BKK Kota)</v>
      </c>
      <c r="G265" s="1492"/>
      <c r="H265" s="1492"/>
      <c r="I265" s="1492">
        <f>Penjabaran!K984</f>
        <v>420000000</v>
      </c>
      <c r="J265" s="1492"/>
    </row>
    <row r="266" spans="1:11" x14ac:dyDescent="0.25">
      <c r="A266" s="1"/>
      <c r="B266" s="1"/>
      <c r="C266" s="1"/>
      <c r="D266" s="1">
        <v>5</v>
      </c>
      <c r="E266" s="1">
        <v>2</v>
      </c>
      <c r="F266" s="4" t="s">
        <v>287</v>
      </c>
      <c r="G266" s="1"/>
      <c r="H266" s="1"/>
      <c r="I266" s="91">
        <f>Penjabaran!K985</f>
        <v>0</v>
      </c>
      <c r="J266" s="1"/>
    </row>
    <row r="267" spans="1:11" ht="60" x14ac:dyDescent="0.25">
      <c r="A267" s="1027">
        <v>3</v>
      </c>
      <c r="B267" s="1027">
        <v>4</v>
      </c>
      <c r="C267" s="1491" t="s">
        <v>2694</v>
      </c>
      <c r="D267" s="1027"/>
      <c r="E267" s="1027"/>
      <c r="F267" s="1028" t="str">
        <f>'BID III'!B757</f>
        <v>: Pelatihan Pembinaan Lembaga Kemasyarakatan (Bulan bakti Gotong royong LPM)</v>
      </c>
      <c r="G267" s="1027"/>
      <c r="H267" s="1027"/>
      <c r="I267" s="1492">
        <f>Penjabaran!K987</f>
        <v>31375000</v>
      </c>
      <c r="J267" s="1027"/>
      <c r="K267" s="32">
        <f>'BID III'!F780</f>
        <v>31375000</v>
      </c>
    </row>
    <row r="268" spans="1:11" x14ac:dyDescent="0.25">
      <c r="A268" s="1"/>
      <c r="B268" s="1"/>
      <c r="C268" s="1"/>
      <c r="D268" s="1">
        <v>5</v>
      </c>
      <c r="E268" s="1">
        <v>2</v>
      </c>
      <c r="F268" s="4" t="str">
        <f>'BID III'!B763</f>
        <v>Belanja Barang  Dan Jasa</v>
      </c>
      <c r="G268" s="1"/>
      <c r="H268" s="1"/>
      <c r="I268" s="91">
        <f>Penjabaran!K988</f>
        <v>0</v>
      </c>
      <c r="J268" s="1"/>
    </row>
    <row r="269" spans="1:11" ht="30" x14ac:dyDescent="0.25">
      <c r="A269" s="1027">
        <v>3</v>
      </c>
      <c r="B269" s="1027">
        <v>4</v>
      </c>
      <c r="C269" s="1491" t="s">
        <v>2694</v>
      </c>
      <c r="D269" s="1027"/>
      <c r="E269" s="1027"/>
      <c r="F269" s="1028" t="str">
        <f>'BID III'!B793</f>
        <v>: Pembinaan LKMD / LPM / LPMD (Pelatihan LPM)</v>
      </c>
      <c r="G269" s="1027"/>
      <c r="H269" s="1027"/>
      <c r="I269" s="1492">
        <f>Penjabaran!K996</f>
        <v>14805000</v>
      </c>
      <c r="J269" s="1027"/>
      <c r="K269" s="32">
        <f>'BID III'!F816</f>
        <v>14805000</v>
      </c>
    </row>
    <row r="270" spans="1:11" x14ac:dyDescent="0.25">
      <c r="A270" s="1"/>
      <c r="B270" s="1"/>
      <c r="C270" s="1"/>
      <c r="D270" s="1">
        <v>5</v>
      </c>
      <c r="E270" s="1">
        <v>2</v>
      </c>
      <c r="F270" s="4" t="str">
        <f>'BID III'!B799</f>
        <v>Belanja Barang Dan Jasa</v>
      </c>
      <c r="G270" s="1"/>
      <c r="H270" s="1"/>
      <c r="I270" s="91">
        <f>Penjabaran!K997</f>
        <v>0</v>
      </c>
      <c r="J270" s="1"/>
    </row>
    <row r="271" spans="1:11" ht="45" x14ac:dyDescent="0.25">
      <c r="A271" s="1498">
        <v>3</v>
      </c>
      <c r="B271" s="1498">
        <v>4</v>
      </c>
      <c r="C271" s="1499" t="s">
        <v>2696</v>
      </c>
      <c r="D271" s="1498"/>
      <c r="E271" s="1498"/>
      <c r="F271" s="1494" t="str">
        <f>'BID III'!B829</f>
        <v>: Pembinaan PKK  ( Pembinaan Administrasi dan Pokja PKK Desa  )</v>
      </c>
      <c r="G271" s="1492"/>
      <c r="H271" s="1492"/>
      <c r="I271" s="1492">
        <f>Penjabaran!K1006</f>
        <v>55763600</v>
      </c>
      <c r="J271" s="1492"/>
      <c r="K271" s="1303">
        <f>'BID III'!F857</f>
        <v>57857600</v>
      </c>
    </row>
    <row r="272" spans="1:11" x14ac:dyDescent="0.25">
      <c r="A272" s="1"/>
      <c r="B272" s="1"/>
      <c r="C272" s="1"/>
      <c r="D272" s="1">
        <v>5</v>
      </c>
      <c r="E272" s="1">
        <v>2</v>
      </c>
      <c r="F272" s="4" t="str">
        <f>'BID III'!B834</f>
        <v>Belanja Barang Jasa</v>
      </c>
      <c r="G272" s="1"/>
      <c r="H272" s="1"/>
      <c r="I272" s="91">
        <f>Penjabaran!K1007</f>
        <v>0</v>
      </c>
      <c r="J272" s="1"/>
    </row>
    <row r="273" spans="1:10" ht="60" x14ac:dyDescent="0.25">
      <c r="A273" s="1498">
        <v>3</v>
      </c>
      <c r="B273" s="1498">
        <v>4</v>
      </c>
      <c r="C273" s="1499" t="s">
        <v>2697</v>
      </c>
      <c r="D273" s="1498"/>
      <c r="E273" s="1498"/>
      <c r="F273" s="1494" t="str">
        <f>'BID III'!B1121</f>
        <v>Pemeliharaan Jalan Lingkungan Permukiman Pura Dalem Laplap ( PONDASI)</v>
      </c>
      <c r="G273" s="1492"/>
      <c r="H273" s="1492"/>
      <c r="I273" s="1492">
        <f>Penjabaran!K1017</f>
        <v>0</v>
      </c>
      <c r="J273" s="1492"/>
    </row>
    <row r="274" spans="1:10" x14ac:dyDescent="0.25">
      <c r="A274" s="1"/>
      <c r="B274" s="1"/>
      <c r="C274" s="1"/>
      <c r="D274" s="1">
        <v>5</v>
      </c>
      <c r="E274" s="1">
        <v>2</v>
      </c>
      <c r="F274" s="4" t="str">
        <f>'BID III'!B1128</f>
        <v>Belanja Barang Jasa</v>
      </c>
      <c r="G274" s="1"/>
      <c r="H274" s="1"/>
      <c r="I274" s="91">
        <f>Penjabaran!K1018</f>
        <v>0</v>
      </c>
      <c r="J274" s="1"/>
    </row>
    <row r="275" spans="1:10" ht="60" x14ac:dyDescent="0.25">
      <c r="A275" s="1498">
        <v>3</v>
      </c>
      <c r="B275" s="1498">
        <v>4</v>
      </c>
      <c r="C275" s="1499" t="s">
        <v>2697</v>
      </c>
      <c r="D275" s="1498"/>
      <c r="E275" s="1498"/>
      <c r="F275" s="1028" t="str">
        <f>'BID III'!B1153</f>
        <v>Pemeliharaan Jalan Lingkungan Permukiman Pura Dalem Laplap ( Urugan Tanah Kembali)</v>
      </c>
      <c r="G275" s="1027"/>
      <c r="H275" s="1027"/>
      <c r="I275" s="1492">
        <f>Penjabaran!K1021</f>
        <v>0</v>
      </c>
      <c r="J275" s="1027"/>
    </row>
    <row r="276" spans="1:10" x14ac:dyDescent="0.25">
      <c r="A276" s="1"/>
      <c r="B276" s="1"/>
      <c r="C276" s="1"/>
      <c r="D276" s="1">
        <v>5</v>
      </c>
      <c r="E276" s="1">
        <v>2</v>
      </c>
      <c r="F276" s="4" t="str">
        <f>'BID III'!B1160</f>
        <v>Belanja Barang Jasa</v>
      </c>
      <c r="G276" s="1"/>
      <c r="H276" s="1"/>
      <c r="I276" s="91">
        <f>Penjabaran!K1022</f>
        <v>0</v>
      </c>
      <c r="J276" s="1"/>
    </row>
    <row r="277" spans="1:10" ht="60" x14ac:dyDescent="0.25">
      <c r="A277" s="1498">
        <v>3</v>
      </c>
      <c r="B277" s="1498">
        <v>4</v>
      </c>
      <c r="C277" s="1499" t="s">
        <v>2697</v>
      </c>
      <c r="D277" s="1498"/>
      <c r="E277" s="1498"/>
      <c r="F277" s="1028" t="str">
        <f>'BID III'!B1178</f>
        <v>Pemeliharaan Jalan Lingkungan Permukiman Pura Dalem Laplap ( SLOOF beton bertulang)</v>
      </c>
      <c r="G277" s="1027"/>
      <c r="H277" s="1027"/>
      <c r="I277" s="1492">
        <f>Penjabaran!K1025</f>
        <v>0</v>
      </c>
      <c r="J277" s="1027"/>
    </row>
    <row r="278" spans="1:10" x14ac:dyDescent="0.25">
      <c r="A278" s="1"/>
      <c r="B278" s="1"/>
      <c r="C278" s="1"/>
      <c r="D278" s="1">
        <v>5</v>
      </c>
      <c r="E278" s="1">
        <v>2</v>
      </c>
      <c r="F278" s="4" t="str">
        <f>'BID III'!B1185</f>
        <v>Belanja Barang Jasa</v>
      </c>
      <c r="G278" s="1"/>
      <c r="H278" s="1"/>
      <c r="I278" s="91">
        <f>Penjabaran!K1026</f>
        <v>0</v>
      </c>
      <c r="J278" s="1"/>
    </row>
    <row r="279" spans="1:10" ht="60" x14ac:dyDescent="0.25">
      <c r="A279" s="1027">
        <v>3</v>
      </c>
      <c r="B279" s="1027">
        <v>4</v>
      </c>
      <c r="C279" s="1491" t="s">
        <v>2697</v>
      </c>
      <c r="D279" s="1027"/>
      <c r="E279" s="1027"/>
      <c r="F279" s="1028" t="str">
        <f>'BID III'!B1220</f>
        <v>Pemeliharaan Jalan Lingkungan Permukiman Pura Dalem Laplap ( PASANG BATAKO)</v>
      </c>
      <c r="G279" s="1027"/>
      <c r="H279" s="1027"/>
      <c r="I279" s="1492">
        <f>Penjabaran!K1028</f>
        <v>0</v>
      </c>
      <c r="J279" s="1027"/>
    </row>
    <row r="280" spans="1:10" x14ac:dyDescent="0.25">
      <c r="A280" s="1"/>
      <c r="B280" s="1"/>
      <c r="C280" s="1"/>
      <c r="D280" s="1">
        <v>5</v>
      </c>
      <c r="E280" s="1">
        <v>2</v>
      </c>
      <c r="F280" s="4" t="str">
        <f>'BID III'!B1227</f>
        <v>Belanja Barang Jasa</v>
      </c>
      <c r="G280" s="1"/>
      <c r="H280" s="1"/>
      <c r="I280" s="91">
        <f>Penjabaran!K1029</f>
        <v>0</v>
      </c>
      <c r="J280" s="1"/>
    </row>
    <row r="281" spans="1:10" ht="60" x14ac:dyDescent="0.25">
      <c r="A281" s="1027">
        <v>3</v>
      </c>
      <c r="B281" s="1027">
        <v>4</v>
      </c>
      <c r="C281" s="1491" t="s">
        <v>2697</v>
      </c>
      <c r="D281" s="1027"/>
      <c r="E281" s="1027"/>
      <c r="F281" s="1028" t="str">
        <f>'BID III'!B1252</f>
        <v>Pemeliharaan Jalan Lingkungan Permukiman Pura Dalem Laplap ( RING BALOK)</v>
      </c>
      <c r="G281" s="1027"/>
      <c r="H281" s="1027"/>
      <c r="I281" s="1492">
        <f>Penjabaran!K1032</f>
        <v>0</v>
      </c>
      <c r="J281" s="1027"/>
    </row>
    <row r="282" spans="1:10" x14ac:dyDescent="0.25">
      <c r="A282" s="1"/>
      <c r="B282" s="1"/>
      <c r="C282" s="1"/>
      <c r="D282" s="1">
        <v>5</v>
      </c>
      <c r="E282" s="1">
        <v>2</v>
      </c>
      <c r="F282" s="4" t="str">
        <f>'BID III'!B1259</f>
        <v>Belanja Barang Jasa</v>
      </c>
      <c r="G282" s="1"/>
      <c r="H282" s="1"/>
      <c r="I282" s="91">
        <f>Penjabaran!K1033</f>
        <v>0</v>
      </c>
      <c r="J282" s="1"/>
    </row>
    <row r="283" spans="1:10" ht="60" x14ac:dyDescent="0.25">
      <c r="A283" s="1027">
        <v>3</v>
      </c>
      <c r="B283" s="1027">
        <v>4</v>
      </c>
      <c r="C283" s="1491" t="s">
        <v>2697</v>
      </c>
      <c r="D283" s="1027"/>
      <c r="E283" s="1027"/>
      <c r="F283" s="1028" t="str">
        <f>'BID III'!B1288</f>
        <v>Pemeliharaan Jalan Lingkungan Permukiman Pura Dalem Laplap ( PLESTERAN )</v>
      </c>
      <c r="G283" s="1027"/>
      <c r="H283" s="1027"/>
      <c r="I283" s="1492">
        <f>Penjabaran!K1036</f>
        <v>0</v>
      </c>
      <c r="J283" s="1027"/>
    </row>
    <row r="284" spans="1:10" x14ac:dyDescent="0.25">
      <c r="A284" s="1"/>
      <c r="B284" s="1"/>
      <c r="C284" s="1"/>
      <c r="D284" s="1">
        <v>5</v>
      </c>
      <c r="E284" s="1">
        <v>2</v>
      </c>
      <c r="F284" s="4" t="str">
        <f>'BID III'!B1295</f>
        <v>Belanja Barang Jasa</v>
      </c>
      <c r="G284" s="1"/>
      <c r="H284" s="1"/>
      <c r="I284" s="91">
        <f>Penjabaran!K1037</f>
        <v>0</v>
      </c>
      <c r="J284" s="1"/>
    </row>
    <row r="285" spans="1:10" ht="60" x14ac:dyDescent="0.25">
      <c r="A285" s="1027">
        <v>3</v>
      </c>
      <c r="B285" s="1027">
        <v>4</v>
      </c>
      <c r="C285" s="1491" t="s">
        <v>2697</v>
      </c>
      <c r="D285" s="1027"/>
      <c r="E285" s="1027"/>
      <c r="F285" s="1028" t="str">
        <f>'BID III'!B1315</f>
        <v>Pemeliharaan Jalan Lingkungan Permukiman Pura Dalem Laplap (BAN - BANAN PLESTERAN )</v>
      </c>
      <c r="G285" s="1027"/>
      <c r="H285" s="1027"/>
      <c r="I285" s="1492">
        <f>Penjabaran!K1040</f>
        <v>0</v>
      </c>
      <c r="J285" s="1027"/>
    </row>
    <row r="286" spans="1:10" x14ac:dyDescent="0.25">
      <c r="A286" s="1"/>
      <c r="B286" s="1"/>
      <c r="C286" s="1"/>
      <c r="D286" s="1">
        <v>5</v>
      </c>
      <c r="E286" s="1">
        <v>2</v>
      </c>
      <c r="F286" s="4" t="str">
        <f>'BID III'!B1322</f>
        <v>Belanja Barang Jasa</v>
      </c>
      <c r="G286" s="1"/>
      <c r="H286" s="1"/>
      <c r="I286" s="91">
        <f>Penjabaran!K1041</f>
        <v>0</v>
      </c>
      <c r="J286" s="1"/>
    </row>
    <row r="287" spans="1:10" ht="75" x14ac:dyDescent="0.25">
      <c r="A287" s="1027">
        <v>3</v>
      </c>
      <c r="B287" s="1027">
        <v>4</v>
      </c>
      <c r="C287" s="1491" t="s">
        <v>2697</v>
      </c>
      <c r="D287" s="1027"/>
      <c r="E287" s="1027"/>
      <c r="F287" s="1028" t="str">
        <f>'BID III'!B1366</f>
        <v>Pemeliharaan Jalan Lingkungan Permukiman Pura Dalem Laplap (  PONDASI BETON TEMBOK BARU)</v>
      </c>
      <c r="G287" s="1027"/>
      <c r="H287" s="1027"/>
      <c r="I287" s="1492">
        <f>Penjabaran!K1044</f>
        <v>0</v>
      </c>
      <c r="J287" s="1027"/>
    </row>
    <row r="288" spans="1:10" x14ac:dyDescent="0.25">
      <c r="A288" s="1"/>
      <c r="B288" s="1"/>
      <c r="C288" s="1"/>
      <c r="D288" s="1">
        <v>5</v>
      </c>
      <c r="E288" s="1">
        <v>2</v>
      </c>
      <c r="F288" s="4" t="str">
        <f>'BID III'!B1373</f>
        <v>Belanja Barang Jasa</v>
      </c>
      <c r="G288" s="1"/>
      <c r="H288" s="1"/>
      <c r="I288" s="91">
        <f>Penjabaran!K1045</f>
        <v>0</v>
      </c>
      <c r="J288" s="1"/>
    </row>
    <row r="289" spans="1:12" ht="75" x14ac:dyDescent="0.25">
      <c r="A289" s="1027">
        <v>3</v>
      </c>
      <c r="B289" s="1027">
        <v>4</v>
      </c>
      <c r="C289" s="1491" t="s">
        <v>2697</v>
      </c>
      <c r="D289" s="1027"/>
      <c r="E289" s="1027"/>
      <c r="F289" s="1028" t="str">
        <f>'BID III'!B1394</f>
        <v>Pemeliharaan Jalan Lingkungan Permukiman Pura Dalem Laplap (  PEMBESIAN PONDASI TEMBOK BARU)</v>
      </c>
      <c r="G289" s="1027"/>
      <c r="H289" s="1027"/>
      <c r="I289" s="1492">
        <f>Penjabaran!K1048</f>
        <v>0</v>
      </c>
      <c r="J289" s="1027" t="s">
        <v>1845</v>
      </c>
    </row>
    <row r="290" spans="1:12" x14ac:dyDescent="0.25">
      <c r="A290" s="1"/>
      <c r="B290" s="1"/>
      <c r="C290" s="1"/>
      <c r="D290" s="1">
        <v>5</v>
      </c>
      <c r="E290" s="1">
        <v>2</v>
      </c>
      <c r="F290" s="4" t="str">
        <f>'BID III'!B1401</f>
        <v>Belanja Barang Jasa</v>
      </c>
      <c r="G290" s="1"/>
      <c r="H290" s="1"/>
      <c r="I290" s="91">
        <f>Penjabaran!K1049</f>
        <v>0</v>
      </c>
      <c r="J290" s="1"/>
    </row>
    <row r="291" spans="1:12" ht="75" x14ac:dyDescent="0.25">
      <c r="A291" s="1027">
        <v>3</v>
      </c>
      <c r="B291" s="1027">
        <v>4</v>
      </c>
      <c r="C291" s="1491" t="s">
        <v>2697</v>
      </c>
      <c r="D291" s="1027"/>
      <c r="E291" s="1027"/>
      <c r="F291" s="1028" t="str">
        <f>'BID III'!B1420</f>
        <v>Pemeliharaan Jalan Lingkungan Permukiman Pura Dalem Laplap (  URUGAN TANAH  TEMBOK BARU)</v>
      </c>
      <c r="G291" s="1027"/>
      <c r="H291" s="1027"/>
      <c r="I291" s="1492">
        <f>Penjabaran!K1052</f>
        <v>0</v>
      </c>
      <c r="J291" s="1027" t="s">
        <v>1845</v>
      </c>
    </row>
    <row r="292" spans="1:12" x14ac:dyDescent="0.25">
      <c r="A292" s="1"/>
      <c r="B292" s="1"/>
      <c r="C292" s="1"/>
      <c r="D292" s="1">
        <v>5</v>
      </c>
      <c r="E292" s="1">
        <v>2</v>
      </c>
      <c r="F292" s="4" t="str">
        <f>'BID III'!B1427</f>
        <v>Belanja Barang Jasa</v>
      </c>
      <c r="G292" s="1"/>
      <c r="H292" s="1"/>
      <c r="I292" s="91">
        <f>Penjabaran!K1053</f>
        <v>0</v>
      </c>
      <c r="J292" s="1"/>
    </row>
    <row r="293" spans="1:12" ht="75" x14ac:dyDescent="0.25">
      <c r="A293" s="1027">
        <v>3</v>
      </c>
      <c r="B293" s="1027">
        <v>4</v>
      </c>
      <c r="C293" s="1491" t="s">
        <v>2697</v>
      </c>
      <c r="D293" s="1027"/>
      <c r="E293" s="1027"/>
      <c r="F293" s="1028" t="str">
        <f>'BID III'!B1446</f>
        <v>Pemeliharaan Jalan Lingkungan Permukiman Pura Dalem Laplap ( PLESTERAN TEMBOK bARU )</v>
      </c>
      <c r="G293" s="1027"/>
      <c r="H293" s="1027"/>
      <c r="I293" s="1492">
        <f>Penjabaran!K1056</f>
        <v>0</v>
      </c>
      <c r="J293" s="1027"/>
    </row>
    <row r="294" spans="1:12" x14ac:dyDescent="0.25">
      <c r="A294" s="1"/>
      <c r="B294" s="1"/>
      <c r="C294" s="1"/>
      <c r="D294" s="1">
        <v>5</v>
      </c>
      <c r="E294" s="1">
        <v>2</v>
      </c>
      <c r="F294" s="4" t="str">
        <f>'BID III'!B1453</f>
        <v>Belanja Barang Jasa</v>
      </c>
      <c r="G294" s="1"/>
      <c r="H294" s="1"/>
      <c r="I294" s="91">
        <f>Penjabaran!K1057</f>
        <v>0</v>
      </c>
      <c r="J294" s="1"/>
    </row>
    <row r="295" spans="1:12" ht="75" x14ac:dyDescent="0.25">
      <c r="A295" s="1027">
        <v>3</v>
      </c>
      <c r="B295" s="1027">
        <v>4</v>
      </c>
      <c r="C295" s="1491" t="s">
        <v>2697</v>
      </c>
      <c r="D295" s="1027"/>
      <c r="E295" s="1027"/>
      <c r="F295" s="1028" t="str">
        <f>'BID III'!B1475</f>
        <v>Pemeliharaan Jalan Lingkungan Permukiman Pura Dalem Laplap (BAN - BANAN PLESTERAN TEMBOK BARU )</v>
      </c>
      <c r="G295" s="1027"/>
      <c r="H295" s="1027"/>
      <c r="I295" s="1492">
        <f>Penjabaran!K1060</f>
        <v>0</v>
      </c>
      <c r="J295" s="1027"/>
    </row>
    <row r="296" spans="1:12" x14ac:dyDescent="0.25">
      <c r="A296" s="1"/>
      <c r="B296" s="1"/>
      <c r="C296" s="1"/>
      <c r="D296" s="1">
        <v>5</v>
      </c>
      <c r="E296" s="1">
        <v>2</v>
      </c>
      <c r="F296" s="4" t="str">
        <f>'BID III'!B1482</f>
        <v>Belanja Barang Jasa</v>
      </c>
      <c r="G296" s="1"/>
      <c r="H296" s="1"/>
      <c r="I296" s="91">
        <f>Penjabaran!K1061</f>
        <v>0</v>
      </c>
      <c r="J296" s="1"/>
    </row>
    <row r="297" spans="1:12" ht="75" x14ac:dyDescent="0.25">
      <c r="A297" s="1027">
        <v>3</v>
      </c>
      <c r="B297" s="1027">
        <v>4</v>
      </c>
      <c r="C297" s="1491" t="s">
        <v>2697</v>
      </c>
      <c r="D297" s="1027"/>
      <c r="E297" s="1027"/>
      <c r="F297" s="1028" t="str">
        <f>'BID III'!B1502</f>
        <v>Pemeliharaan Jalan Lingkungan Permukiman/Pengorong Desa Adat Bekul (Pemavingan)</v>
      </c>
      <c r="G297" s="1027"/>
      <c r="H297" s="1027"/>
      <c r="I297" s="1492">
        <f>Penjabaran!K1064</f>
        <v>0</v>
      </c>
      <c r="J297" s="1027"/>
    </row>
    <row r="298" spans="1:12" x14ac:dyDescent="0.25">
      <c r="A298" s="1"/>
      <c r="B298" s="1"/>
      <c r="C298" s="1"/>
      <c r="D298" s="1">
        <v>5</v>
      </c>
      <c r="E298" s="1">
        <v>2</v>
      </c>
      <c r="F298" s="4" t="str">
        <f>'BID III'!B1509</f>
        <v>Belanja Barang Jasa</v>
      </c>
      <c r="G298" s="1"/>
      <c r="H298" s="1"/>
      <c r="I298" s="91">
        <f>Penjabaran!K1065</f>
        <v>0</v>
      </c>
      <c r="J298" s="1"/>
    </row>
    <row r="299" spans="1:12" ht="75" x14ac:dyDescent="0.25">
      <c r="A299" s="1027">
        <v>3</v>
      </c>
      <c r="B299" s="1027">
        <v>4</v>
      </c>
      <c r="C299" s="1491" t="s">
        <v>2697</v>
      </c>
      <c r="D299" s="1027"/>
      <c r="E299" s="1027"/>
      <c r="F299" s="1028" t="str">
        <f>'BID III'!B1531</f>
        <v>Pemeliharaan Jalan Lingkungan Permukiman/Pengorong Desa Adat Bekul (Rabat Beton)</v>
      </c>
      <c r="G299" s="1027"/>
      <c r="H299" s="1027"/>
      <c r="I299" s="1492">
        <f>Penjabaran!K1068</f>
        <v>0</v>
      </c>
      <c r="J299" s="1027"/>
    </row>
    <row r="300" spans="1:12" x14ac:dyDescent="0.25">
      <c r="A300" s="1"/>
      <c r="B300" s="1"/>
      <c r="C300" s="1"/>
      <c r="D300" s="1">
        <v>5</v>
      </c>
      <c r="E300" s="1">
        <v>2</v>
      </c>
      <c r="F300" s="4" t="str">
        <f>'BID III'!B1538</f>
        <v>Belanja Barang Jasa</v>
      </c>
      <c r="G300" s="1"/>
      <c r="H300" s="1"/>
      <c r="I300" s="91">
        <f>Penjabaran!K1069</f>
        <v>0</v>
      </c>
      <c r="J300" s="1"/>
    </row>
    <row r="301" spans="1:12" ht="30" x14ac:dyDescent="0.25">
      <c r="A301" s="1489">
        <v>4</v>
      </c>
      <c r="B301" s="1489"/>
      <c r="C301" s="1489"/>
      <c r="D301" s="1489"/>
      <c r="E301" s="1489"/>
      <c r="F301" s="1490" t="str">
        <f>'BID IV'!B5</f>
        <v>: Pemberdayaan Masyarakat Desa</v>
      </c>
      <c r="G301" s="1489"/>
      <c r="H301" s="1489"/>
      <c r="I301" s="1495">
        <f>Penjabaran!K1072</f>
        <v>396288084.64285713</v>
      </c>
      <c r="J301" s="1489"/>
      <c r="K301" s="83">
        <f>Htungan!Y11</f>
        <v>2204332300</v>
      </c>
      <c r="L301" s="32">
        <f>K301-I301</f>
        <v>1808044215.3571429</v>
      </c>
    </row>
    <row r="302" spans="1:12" ht="60" x14ac:dyDescent="0.25">
      <c r="A302" s="1027">
        <v>4</v>
      </c>
      <c r="B302" s="1027">
        <v>2</v>
      </c>
      <c r="C302" s="1491" t="s">
        <v>2679</v>
      </c>
      <c r="D302" s="1027"/>
      <c r="E302" s="1027"/>
      <c r="F302" s="1028" t="str">
        <f>'BID IV'!B7</f>
        <v xml:space="preserve">: (Ketahanan Pangan) Pelatihan Budidaya Maggot Black Soldier Fly (BSF) </v>
      </c>
      <c r="G302" s="1027"/>
      <c r="H302" s="1027"/>
      <c r="I302" s="1492">
        <f>Penjabaran!K1073</f>
        <v>14791000</v>
      </c>
      <c r="J302" s="1027"/>
      <c r="K302" s="32">
        <f>'BID IV'!F48</f>
        <v>14791000</v>
      </c>
    </row>
    <row r="303" spans="1:12" x14ac:dyDescent="0.25">
      <c r="A303" s="1"/>
      <c r="B303" s="1"/>
      <c r="C303" s="1"/>
      <c r="D303" s="1">
        <v>5</v>
      </c>
      <c r="E303" s="1">
        <v>2</v>
      </c>
      <c r="F303" s="4" t="str">
        <f>'BID IV'!B12</f>
        <v>Belanja Barang Dan Jasa</v>
      </c>
      <c r="G303" s="1"/>
      <c r="H303" s="1"/>
      <c r="I303" s="91">
        <f>I302</f>
        <v>14791000</v>
      </c>
      <c r="J303" s="1"/>
    </row>
    <row r="304" spans="1:12" ht="60" x14ac:dyDescent="0.25">
      <c r="A304" s="1027">
        <v>4</v>
      </c>
      <c r="B304" s="1027">
        <v>2</v>
      </c>
      <c r="C304" s="1491" t="s">
        <v>2696</v>
      </c>
      <c r="D304" s="1027"/>
      <c r="E304" s="1027"/>
      <c r="F304" s="1028" t="str">
        <f>'BID IV'!B63</f>
        <v>: Penguatan Ketahanan Pangan Tingkat Desa (Penanaman Bunga Gumitir)</v>
      </c>
      <c r="G304" s="1027"/>
      <c r="H304" s="1027"/>
      <c r="I304" s="1492">
        <f>Penjabaran!K1084</f>
        <v>28860000</v>
      </c>
      <c r="J304" s="1027"/>
      <c r="K304" s="32">
        <f>'BID IV'!F100</f>
        <v>28860000</v>
      </c>
    </row>
    <row r="305" spans="1:11" x14ac:dyDescent="0.25">
      <c r="A305" s="1"/>
      <c r="B305" s="1"/>
      <c r="C305" s="1"/>
      <c r="D305" s="1">
        <v>5</v>
      </c>
      <c r="E305" s="1">
        <v>2</v>
      </c>
      <c r="F305" s="4" t="str">
        <f>'BID IV'!B70</f>
        <v>Belanja Barang Dan Jasa</v>
      </c>
      <c r="G305" s="1"/>
      <c r="H305" s="1"/>
      <c r="I305" s="91">
        <f>I304</f>
        <v>28860000</v>
      </c>
      <c r="J305" s="1"/>
    </row>
    <row r="306" spans="1:11" ht="60" x14ac:dyDescent="0.25">
      <c r="A306" s="1027">
        <v>4</v>
      </c>
      <c r="B306" s="1027">
        <v>3</v>
      </c>
      <c r="C306" s="1491" t="s">
        <v>2694</v>
      </c>
      <c r="D306" s="1027"/>
      <c r="E306" s="1027"/>
      <c r="F306" s="1028" t="str">
        <f>'BID IV'!B156</f>
        <v>: Pelatihan Tim Verifikasi dan penyusunan RKP ( Pelatihan Penysunan RKPDes)</v>
      </c>
      <c r="G306" s="1027"/>
      <c r="H306" s="1027"/>
      <c r="I306" s="1492">
        <f>Penjabaran!K1095</f>
        <v>1220000</v>
      </c>
      <c r="J306" s="1027"/>
      <c r="K306" s="32">
        <f>'BID IV'!F177</f>
        <v>1220000</v>
      </c>
    </row>
    <row r="307" spans="1:11" x14ac:dyDescent="0.25">
      <c r="A307" s="1"/>
      <c r="B307" s="1"/>
      <c r="C307" s="1"/>
      <c r="D307" s="1">
        <v>5</v>
      </c>
      <c r="E307" s="1">
        <v>2</v>
      </c>
      <c r="F307" s="4" t="str">
        <f>'BID IV'!B162</f>
        <v>Belanja Barang dan Jasa</v>
      </c>
      <c r="G307" s="1"/>
      <c r="H307" s="1"/>
      <c r="I307" s="91">
        <f>I306</f>
        <v>1220000</v>
      </c>
      <c r="J307" s="1"/>
    </row>
    <row r="308" spans="1:11" ht="30" x14ac:dyDescent="0.25">
      <c r="A308" s="1027">
        <v>4</v>
      </c>
      <c r="B308" s="1027">
        <v>3</v>
      </c>
      <c r="C308" s="1491" t="s">
        <v>2694</v>
      </c>
      <c r="D308" s="1027"/>
      <c r="E308" s="1027"/>
      <c r="F308" s="1028" t="str">
        <f>'BID IV'!B193</f>
        <v>: Pelatihan Perangkat Desa</v>
      </c>
      <c r="G308" s="1027"/>
      <c r="H308" s="1027"/>
      <c r="I308" s="1492">
        <f>Penjabaran!K1103</f>
        <v>85110000</v>
      </c>
      <c r="J308" s="1027" t="s">
        <v>1845</v>
      </c>
      <c r="K308" s="32">
        <f>'BID IV'!F216</f>
        <v>85110000</v>
      </c>
    </row>
    <row r="309" spans="1:11" x14ac:dyDescent="0.25">
      <c r="A309" s="1"/>
      <c r="B309" s="1"/>
      <c r="C309" s="1"/>
      <c r="D309" s="1">
        <v>5</v>
      </c>
      <c r="E309" s="1">
        <v>2</v>
      </c>
      <c r="F309" s="4" t="str">
        <f>'BID IV'!B198</f>
        <v>Belanja Barang Dan Jasa</v>
      </c>
      <c r="G309" s="1"/>
      <c r="H309" s="1"/>
      <c r="I309" s="91">
        <f>I308</f>
        <v>85110000</v>
      </c>
      <c r="J309" s="1"/>
    </row>
    <row r="310" spans="1:11" ht="30" x14ac:dyDescent="0.25">
      <c r="A310" s="1027">
        <v>3</v>
      </c>
      <c r="B310" s="1027">
        <v>2</v>
      </c>
      <c r="C310" s="1491" t="s">
        <v>2697</v>
      </c>
      <c r="D310" s="1027"/>
      <c r="E310" s="1027"/>
      <c r="F310" s="1028" t="str">
        <f>'BID IV'!B233</f>
        <v>: Peningkatan Kapasitas BPD</v>
      </c>
      <c r="G310" s="1027"/>
      <c r="H310" s="1027"/>
      <c r="I310" s="1492">
        <f>Penjabaran!K1112</f>
        <v>37120000</v>
      </c>
      <c r="J310" s="1027"/>
      <c r="K310" s="32">
        <f>'BID IV'!F259</f>
        <v>37120000</v>
      </c>
    </row>
    <row r="311" spans="1:11" x14ac:dyDescent="0.25">
      <c r="A311" s="1"/>
      <c r="B311" s="1"/>
      <c r="C311" s="1"/>
      <c r="D311" s="1">
        <v>5</v>
      </c>
      <c r="E311" s="1">
        <v>2</v>
      </c>
      <c r="F311" s="4" t="str">
        <f>'BID IV'!B238</f>
        <v>Belanja Barang dan Jasa</v>
      </c>
      <c r="G311" s="1"/>
      <c r="H311" s="1"/>
      <c r="I311" s="91">
        <f>I310</f>
        <v>37120000</v>
      </c>
      <c r="J311" s="1"/>
    </row>
    <row r="312" spans="1:11" ht="30" x14ac:dyDescent="0.25">
      <c r="A312" s="1027">
        <v>4</v>
      </c>
      <c r="B312" s="1027">
        <v>3</v>
      </c>
      <c r="C312" s="1491" t="s">
        <v>2696</v>
      </c>
      <c r="D312" s="1027"/>
      <c r="E312" s="1027"/>
      <c r="F312" s="1028" t="str">
        <f>'BID IV'!B273</f>
        <v>: Pelatihan PKPKD, PPKD dan TPK</v>
      </c>
      <c r="G312" s="1027"/>
      <c r="H312" s="1027"/>
      <c r="I312" s="1492">
        <f>Penjabaran!K1122</f>
        <v>1655000</v>
      </c>
      <c r="J312" s="1027"/>
      <c r="K312" s="32">
        <f>'BID IV'!F296</f>
        <v>1655000</v>
      </c>
    </row>
    <row r="313" spans="1:11" x14ac:dyDescent="0.25">
      <c r="A313" s="1"/>
      <c r="B313" s="1"/>
      <c r="C313" s="1"/>
      <c r="D313" s="1">
        <v>5</v>
      </c>
      <c r="E313" s="1">
        <v>2</v>
      </c>
      <c r="F313" s="4" t="str">
        <f>'BID IV'!B279</f>
        <v>Belanja Barang dan Jasa</v>
      </c>
      <c r="G313" s="1"/>
      <c r="H313" s="1"/>
      <c r="I313" s="91">
        <f>I312</f>
        <v>1655000</v>
      </c>
      <c r="J313" s="1"/>
    </row>
    <row r="314" spans="1:11" ht="30" x14ac:dyDescent="0.25">
      <c r="A314" s="1027">
        <v>4</v>
      </c>
      <c r="B314" s="1027">
        <v>3</v>
      </c>
      <c r="C314" s="1491" t="s">
        <v>2694</v>
      </c>
      <c r="D314" s="1027"/>
      <c r="E314" s="1027"/>
      <c r="F314" s="1028" t="str">
        <f>'BID IV'!B311</f>
        <v xml:space="preserve">: Pembinaan Kelompok P2WKSS  </v>
      </c>
      <c r="G314" s="1027"/>
      <c r="H314" s="1027"/>
      <c r="I314" s="1492">
        <f>Penjabaran!K1130</f>
        <v>1290000</v>
      </c>
      <c r="J314" s="1027"/>
      <c r="K314" s="36">
        <f>'BID IV'!F327</f>
        <v>1290000</v>
      </c>
    </row>
    <row r="315" spans="1:11" x14ac:dyDescent="0.25">
      <c r="A315" s="1"/>
      <c r="B315" s="1"/>
      <c r="C315" s="1"/>
      <c r="D315" s="1">
        <v>5</v>
      </c>
      <c r="E315" s="1">
        <v>2</v>
      </c>
      <c r="F315" s="4" t="str">
        <f>'BID IV'!B316</f>
        <v>Belanja Barang Jasa</v>
      </c>
      <c r="G315" s="1"/>
      <c r="H315" s="1"/>
      <c r="I315" s="91">
        <f>I314</f>
        <v>1290000</v>
      </c>
      <c r="J315" s="1"/>
    </row>
    <row r="316" spans="1:11" ht="90" x14ac:dyDescent="0.25">
      <c r="A316" s="1027">
        <v>4</v>
      </c>
      <c r="B316" s="1027">
        <v>4</v>
      </c>
      <c r="C316" s="1491" t="s">
        <v>2679</v>
      </c>
      <c r="D316" s="1027"/>
      <c r="E316" s="1027"/>
      <c r="F316" s="1028" t="str">
        <f>'BID IV'!B340</f>
        <v xml:space="preserve">: Pelatihan Pemberdayaan Perempuan ( Pelatihan Membuat Kroket Kentang dan Sushi untuk PKK Desa ) </v>
      </c>
      <c r="G316" s="1027"/>
      <c r="H316" s="1027"/>
      <c r="I316" s="1492">
        <f>Penjabaran!K1137</f>
        <v>5874900</v>
      </c>
      <c r="J316" s="1027"/>
      <c r="K316" s="32">
        <f>'BID IV'!F395</f>
        <v>5874900</v>
      </c>
    </row>
    <row r="317" spans="1:11" x14ac:dyDescent="0.25">
      <c r="A317" s="1"/>
      <c r="B317" s="1"/>
      <c r="C317" s="1"/>
      <c r="D317" s="1">
        <v>5</v>
      </c>
      <c r="E317" s="1">
        <v>2</v>
      </c>
      <c r="F317" s="4" t="str">
        <f>'BID IV'!B345</f>
        <v>Belanja Barang dan Jasa</v>
      </c>
      <c r="G317" s="1"/>
      <c r="H317" s="1"/>
      <c r="I317" s="91">
        <f>I316</f>
        <v>5874900</v>
      </c>
      <c r="J317" s="1"/>
    </row>
    <row r="318" spans="1:11" ht="105" x14ac:dyDescent="0.25">
      <c r="A318" s="1027">
        <v>4</v>
      </c>
      <c r="B318" s="1027">
        <v>4</v>
      </c>
      <c r="C318" s="1491" t="s">
        <v>2679</v>
      </c>
      <c r="D318" s="1027"/>
      <c r="E318" s="1027"/>
      <c r="F318" s="1028" t="str">
        <f>'BID IV'!B408</f>
        <v xml:space="preserve">: Pelatihan/ Penyuluhan Pemberdayaan Perempuan        ( Pelatihan Membuat Banten Tumpeng Solas dan Banten Caru untuk PKK Desa ) </v>
      </c>
      <c r="G318" s="1027"/>
      <c r="H318" s="1027"/>
      <c r="I318" s="1492">
        <f>Penjabaran!K1148</f>
        <v>4181000</v>
      </c>
      <c r="J318" s="1027"/>
      <c r="K318" s="172">
        <f>'BID IV'!F458</f>
        <v>4181000</v>
      </c>
    </row>
    <row r="319" spans="1:11" x14ac:dyDescent="0.25">
      <c r="A319" s="1"/>
      <c r="B319" s="1"/>
      <c r="C319" s="1"/>
      <c r="D319" s="1">
        <v>5</v>
      </c>
      <c r="E319" s="1">
        <v>2</v>
      </c>
      <c r="F319" s="4" t="str">
        <f>'BID IV'!B413</f>
        <v>Belanja Barang dan Jasa</v>
      </c>
      <c r="G319" s="1"/>
      <c r="H319" s="1"/>
      <c r="I319" s="91">
        <f>I318</f>
        <v>4181000</v>
      </c>
      <c r="J319" s="1"/>
    </row>
    <row r="320" spans="1:11" ht="60" x14ac:dyDescent="0.25">
      <c r="A320" s="1027">
        <v>4</v>
      </c>
      <c r="B320" s="1027">
        <v>4</v>
      </c>
      <c r="C320" s="1491" t="s">
        <v>2694</v>
      </c>
      <c r="D320" s="1027"/>
      <c r="E320" s="1027"/>
      <c r="F320" s="1028" t="str">
        <f>'BID IV'!B471</f>
        <v>: Pelatihan/Penyuluhan Perlindungan Anak (Pembinaan Forum Anak Desa)</v>
      </c>
      <c r="G320" s="1027"/>
      <c r="H320" s="1027"/>
      <c r="I320" s="1492">
        <f>Penjabaran!K1159</f>
        <v>23025400</v>
      </c>
      <c r="J320" s="1027"/>
      <c r="K320" s="32">
        <f>'BID IV'!F502</f>
        <v>23025400</v>
      </c>
    </row>
    <row r="321" spans="1:11" x14ac:dyDescent="0.25">
      <c r="A321" s="1"/>
      <c r="B321" s="1"/>
      <c r="C321" s="1"/>
      <c r="D321" s="1">
        <v>5</v>
      </c>
      <c r="E321" s="1">
        <v>2</v>
      </c>
      <c r="F321" s="4" t="str">
        <f>'BID IV'!B477</f>
        <v>Belanja Barang Dan Jasa</v>
      </c>
      <c r="G321" s="1"/>
      <c r="H321" s="1"/>
      <c r="I321" s="91">
        <f>I320</f>
        <v>23025400</v>
      </c>
      <c r="J321" s="1"/>
      <c r="K321" s="32">
        <f>I320-K320</f>
        <v>0</v>
      </c>
    </row>
    <row r="322" spans="1:11" ht="90" x14ac:dyDescent="0.25">
      <c r="A322" s="1027">
        <v>4</v>
      </c>
      <c r="B322" s="1027">
        <v>6</v>
      </c>
      <c r="C322" s="1491" t="s">
        <v>2694</v>
      </c>
      <c r="D322" s="1027"/>
      <c r="E322" s="1027"/>
      <c r="F322" s="1028" t="str">
        <f>'BID IV'!B516</f>
        <v>: Pengembangan sarana dan prasarana usaha mikro, kecil dan menengah serta koprasi  (Pelatihan Management BUMDes)</v>
      </c>
      <c r="G322" s="1027"/>
      <c r="H322" s="1027"/>
      <c r="I322" s="1492">
        <f>Penjabaran!K1171</f>
        <v>1205000</v>
      </c>
      <c r="J322" s="1027"/>
      <c r="K322" s="32">
        <f>'BID IV'!F538</f>
        <v>1205000</v>
      </c>
    </row>
    <row r="323" spans="1:11" x14ac:dyDescent="0.25">
      <c r="A323" s="1"/>
      <c r="B323" s="1"/>
      <c r="C323" s="1"/>
      <c r="D323" s="1">
        <v>5</v>
      </c>
      <c r="E323" s="1">
        <v>2</v>
      </c>
      <c r="F323" s="4" t="str">
        <f>'BID IV'!B522</f>
        <v>Belanja Barang Dan Jasa</v>
      </c>
      <c r="G323" s="1"/>
      <c r="H323" s="1"/>
      <c r="I323" s="91">
        <f>I322</f>
        <v>1205000</v>
      </c>
      <c r="J323" s="1"/>
    </row>
    <row r="324" spans="1:11" ht="75" x14ac:dyDescent="0.25">
      <c r="A324" s="1027">
        <v>4</v>
      </c>
      <c r="B324" s="1027">
        <v>2</v>
      </c>
      <c r="C324" s="1491" t="s">
        <v>2697</v>
      </c>
      <c r="D324" s="1027"/>
      <c r="E324" s="1027"/>
      <c r="F324" s="1028" t="str">
        <f>'BID IV'!B553</f>
        <v>: Pemeliharaan Saluran Irigasi Tersier/ Sederhana (Saluran Tersier Subak Taman Munduk Enjung bekisting)</v>
      </c>
      <c r="G324" s="1027"/>
      <c r="H324" s="1027"/>
      <c r="I324" s="1492">
        <f>Penjabaran!K1179</f>
        <v>37338550</v>
      </c>
      <c r="J324" s="1027" t="s">
        <v>1711</v>
      </c>
      <c r="K324" s="32">
        <f>'BID IV'!F577</f>
        <v>0</v>
      </c>
    </row>
    <row r="325" spans="1:11" x14ac:dyDescent="0.25">
      <c r="A325" s="1"/>
      <c r="B325" s="1"/>
      <c r="C325" s="1"/>
      <c r="D325" s="1">
        <v>5</v>
      </c>
      <c r="E325" s="1">
        <v>3</v>
      </c>
      <c r="F325" s="4" t="s">
        <v>2738</v>
      </c>
      <c r="G325" s="1"/>
      <c r="H325" s="1"/>
      <c r="I325" s="91">
        <f>Penjabaran!K1180</f>
        <v>3475000</v>
      </c>
      <c r="J325" s="1" t="s">
        <v>1711</v>
      </c>
    </row>
    <row r="326" spans="1:11" ht="75" x14ac:dyDescent="0.25">
      <c r="A326" s="1027">
        <v>4</v>
      </c>
      <c r="B326" s="1491">
        <v>2</v>
      </c>
      <c r="C326" s="1491" t="s">
        <v>2697</v>
      </c>
      <c r="D326" s="1027"/>
      <c r="E326" s="1027"/>
      <c r="F326" s="1028" t="str">
        <f>'BID IV'!B589</f>
        <v>: Pemeliharaan Saluran Irigasi Tersier/ Sederhana (Saluran Tersier Subak Taman Munduk Enjung Rabat Beton Lantai)</v>
      </c>
      <c r="G326" s="1027"/>
      <c r="H326" s="1027"/>
      <c r="I326" s="1492">
        <f>Penjabaran!K1183</f>
        <v>13229080</v>
      </c>
      <c r="J326" s="1027" t="s">
        <v>1711</v>
      </c>
      <c r="K326" s="32">
        <f>'BID IV'!F612</f>
        <v>0</v>
      </c>
    </row>
    <row r="327" spans="1:11" x14ac:dyDescent="0.25">
      <c r="A327" s="1"/>
      <c r="B327" s="1"/>
      <c r="C327" s="1"/>
      <c r="D327" s="1">
        <v>5</v>
      </c>
      <c r="E327" s="1">
        <v>3</v>
      </c>
      <c r="F327" s="4" t="str">
        <f>'BID IV'!B596</f>
        <v>Belanja Modal</v>
      </c>
      <c r="G327" s="1"/>
      <c r="H327" s="1"/>
      <c r="I327" s="91">
        <f>I326</f>
        <v>13229080</v>
      </c>
      <c r="J327" s="1"/>
    </row>
    <row r="328" spans="1:11" ht="90" x14ac:dyDescent="0.25">
      <c r="A328" s="1027">
        <v>4</v>
      </c>
      <c r="B328" s="1491">
        <v>2</v>
      </c>
      <c r="C328" s="1491" t="s">
        <v>2697</v>
      </c>
      <c r="D328" s="1027"/>
      <c r="E328" s="1027"/>
      <c r="F328" s="1028" t="str">
        <f>'BID IV'!B621</f>
        <v>: Pemeliharaan Saluran Irigasi Tersier/ Sederhana (Saluran Tersier Subak Taman Munduk Enjung Pembersihan Side dan pembongkaran)</v>
      </c>
      <c r="G328" s="1027"/>
      <c r="H328" s="1027"/>
      <c r="I328" s="1492">
        <f>Penjabaran!K1189</f>
        <v>9140000</v>
      </c>
      <c r="J328" s="1027"/>
      <c r="K328" s="32">
        <f>'BID IV'!F637</f>
        <v>0</v>
      </c>
    </row>
    <row r="329" spans="1:11" x14ac:dyDescent="0.25">
      <c r="A329" s="1"/>
      <c r="B329" s="1"/>
      <c r="C329" s="1"/>
      <c r="D329" s="1">
        <v>5</v>
      </c>
      <c r="E329" s="1">
        <v>3</v>
      </c>
      <c r="F329" s="4" t="str">
        <f>'BID IV'!B628</f>
        <v>Belanja Modal</v>
      </c>
      <c r="G329" s="1"/>
      <c r="H329" s="1"/>
      <c r="I329" s="91">
        <f>I328</f>
        <v>9140000</v>
      </c>
      <c r="J329" s="1"/>
    </row>
    <row r="330" spans="1:11" ht="75" x14ac:dyDescent="0.25">
      <c r="A330" s="1027">
        <v>4</v>
      </c>
      <c r="B330" s="1491">
        <v>2</v>
      </c>
      <c r="C330" s="1491" t="s">
        <v>2697</v>
      </c>
      <c r="D330" s="1027"/>
      <c r="E330" s="1027"/>
      <c r="F330" s="1028" t="str">
        <f>'BID IV'!B646</f>
        <v>: Pemeliharaan Saluran Irigasi Tersier/ Sederhana (Saluran Tersier Subak Taman Munduk Enjung Pembesian)</v>
      </c>
      <c r="G330" s="1027"/>
      <c r="H330" s="1027"/>
      <c r="I330" s="1492">
        <f>Penjabaran!K1194</f>
        <v>66292525.000000007</v>
      </c>
      <c r="J330" s="1027"/>
      <c r="K330" s="32">
        <f>'BID IV'!F668</f>
        <v>0</v>
      </c>
    </row>
    <row r="331" spans="1:11" x14ac:dyDescent="0.25">
      <c r="A331" s="1"/>
      <c r="B331" s="1"/>
      <c r="C331" s="1"/>
      <c r="D331" s="1">
        <v>5</v>
      </c>
      <c r="E331" s="1">
        <v>3</v>
      </c>
      <c r="F331" s="4" t="str">
        <f>'BID IV'!B653</f>
        <v>Belanja Modal</v>
      </c>
      <c r="G331" s="1"/>
      <c r="H331" s="1"/>
      <c r="I331" s="91">
        <f>I330</f>
        <v>66292525.000000007</v>
      </c>
      <c r="J331" s="1"/>
    </row>
    <row r="332" spans="1:11" ht="75" x14ac:dyDescent="0.25">
      <c r="A332" s="1027">
        <v>4</v>
      </c>
      <c r="B332" s="1491">
        <v>2</v>
      </c>
      <c r="C332" s="1491" t="s">
        <v>2697</v>
      </c>
      <c r="D332" s="1027"/>
      <c r="E332" s="1027"/>
      <c r="F332" s="1028" t="str">
        <f>'BID IV'!B676</f>
        <v>: Pemeliharaan Saluran Irigasi Tersier/ Sederhana (Saluran Tersier Subak Taman Munduk Enjung Pembetonan)</v>
      </c>
      <c r="G332" s="1027"/>
      <c r="H332" s="1027"/>
      <c r="I332" s="1492">
        <f>Penjabaran!K1200</f>
        <v>65955629.642857134</v>
      </c>
      <c r="J332" s="1027"/>
      <c r="K332" s="32">
        <f>'BID IV'!F699</f>
        <v>0</v>
      </c>
    </row>
    <row r="333" spans="1:11" x14ac:dyDescent="0.25">
      <c r="A333" s="1"/>
      <c r="B333" s="1"/>
      <c r="C333" s="1"/>
      <c r="D333" s="1">
        <v>5</v>
      </c>
      <c r="E333" s="1">
        <v>3</v>
      </c>
      <c r="F333" s="4" t="str">
        <f>'BID IV'!B683</f>
        <v>Belanja Modal</v>
      </c>
      <c r="G333" s="1"/>
      <c r="H333" s="1"/>
      <c r="I333" s="91">
        <f>I332</f>
        <v>65955629.642857134</v>
      </c>
      <c r="J333" s="1"/>
    </row>
    <row r="334" spans="1:11" x14ac:dyDescent="0.25">
      <c r="A334" s="1489">
        <v>5</v>
      </c>
      <c r="B334" s="1489"/>
      <c r="C334" s="1489"/>
      <c r="D334" s="1489"/>
      <c r="E334" s="1489"/>
      <c r="F334" s="1489" t="str">
        <f>'BID V'!B5</f>
        <v>: Bidang Pemberdayaan Masyarakat</v>
      </c>
      <c r="G334" s="1489"/>
      <c r="H334" s="1489"/>
      <c r="I334" s="1495">
        <f>Penjabaran!K1206</f>
        <v>158400000</v>
      </c>
      <c r="J334" s="1489"/>
    </row>
    <row r="335" spans="1:11" x14ac:dyDescent="0.25">
      <c r="A335" s="1027">
        <v>5</v>
      </c>
      <c r="B335" s="1027">
        <v>3</v>
      </c>
      <c r="C335" s="1027"/>
      <c r="D335" s="1027"/>
      <c r="E335" s="1027"/>
      <c r="F335" s="1027" t="str">
        <f>'BID V'!B6</f>
        <v>: Keadaan Mendesak</v>
      </c>
      <c r="G335" s="1027"/>
      <c r="H335" s="1027"/>
      <c r="I335" s="1492">
        <f>Penjabaran!K1207</f>
        <v>0</v>
      </c>
      <c r="J335" s="1027"/>
    </row>
    <row r="336" spans="1:11" ht="45" x14ac:dyDescent="0.25">
      <c r="A336" s="1027">
        <v>5</v>
      </c>
      <c r="B336" s="1027">
        <v>3</v>
      </c>
      <c r="C336" s="1491" t="s">
        <v>2727</v>
      </c>
      <c r="D336" s="1027"/>
      <c r="E336" s="1027"/>
      <c r="F336" s="1028" t="str">
        <f>'BID V'!B7</f>
        <v xml:space="preserve"> Penanggulangan Keadaan Mendesak Pemberian BLT</v>
      </c>
      <c r="G336" s="1027"/>
      <c r="H336" s="1027"/>
      <c r="I336" s="1492">
        <f>Penjabaran!K1208</f>
        <v>158400000</v>
      </c>
      <c r="J336" s="1027" t="s">
        <v>1711</v>
      </c>
    </row>
    <row r="337" spans="1:10" x14ac:dyDescent="0.25">
      <c r="A337" s="1"/>
      <c r="B337" s="1"/>
      <c r="C337" s="1"/>
      <c r="D337" s="1">
        <v>5</v>
      </c>
      <c r="E337" s="1">
        <v>4</v>
      </c>
      <c r="F337" s="1" t="str">
        <f>'BID V'!B13</f>
        <v>Belanja Tak Terduga</v>
      </c>
      <c r="G337" s="1"/>
      <c r="H337" s="1"/>
      <c r="I337" s="91">
        <f>I336</f>
        <v>158400000</v>
      </c>
      <c r="J337" s="1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91">
        <f>Penjabaran!K1212</f>
        <v>0</v>
      </c>
      <c r="J338" s="1"/>
    </row>
    <row r="339" spans="1:10" x14ac:dyDescent="0.25">
      <c r="A339" s="1489"/>
      <c r="B339" s="1489"/>
      <c r="C339" s="1489"/>
      <c r="D339" s="1489"/>
      <c r="E339" s="1489"/>
      <c r="F339" s="1489" t="s">
        <v>2728</v>
      </c>
      <c r="G339" s="1489"/>
      <c r="H339" s="1489"/>
      <c r="I339" s="1495" t="e">
        <f>Penjabaran!K1213</f>
        <v>#REF!</v>
      </c>
      <c r="J339" s="1489"/>
    </row>
    <row r="340" spans="1:10" x14ac:dyDescent="0.25">
      <c r="A340" s="1489"/>
      <c r="B340" s="1489"/>
      <c r="C340" s="1489"/>
      <c r="D340" s="1489"/>
      <c r="E340" s="1489"/>
      <c r="F340" s="1489" t="s">
        <v>2729</v>
      </c>
      <c r="G340" s="1489"/>
      <c r="H340" s="1489"/>
      <c r="I340" s="1495" t="e">
        <f>Penjabaran!K1214</f>
        <v>#REF!</v>
      </c>
      <c r="J340" s="1489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91">
        <f>Penjabaran!K1215</f>
        <v>0</v>
      </c>
      <c r="J341" s="1"/>
    </row>
    <row r="342" spans="1:10" x14ac:dyDescent="0.25">
      <c r="A342" s="1"/>
      <c r="B342" s="1"/>
      <c r="C342" s="1"/>
      <c r="D342" s="1">
        <v>6</v>
      </c>
      <c r="E342" s="1"/>
      <c r="F342" s="4" t="s">
        <v>2730</v>
      </c>
      <c r="G342" s="1"/>
      <c r="H342" s="1"/>
      <c r="I342" s="91">
        <f>Penjabaran!K1216</f>
        <v>0</v>
      </c>
      <c r="J342" s="1"/>
    </row>
    <row r="343" spans="1:10" x14ac:dyDescent="0.25">
      <c r="A343" s="1"/>
      <c r="B343" s="1"/>
      <c r="C343" s="1"/>
      <c r="D343" s="1">
        <v>6</v>
      </c>
      <c r="E343" s="1">
        <v>1</v>
      </c>
      <c r="F343" s="4" t="s">
        <v>2731</v>
      </c>
      <c r="G343" s="1"/>
      <c r="H343" s="1"/>
      <c r="I343" s="91">
        <f>Penjabaran!K1219</f>
        <v>1958528381.02</v>
      </c>
      <c r="J343" s="1"/>
    </row>
    <row r="344" spans="1:10" x14ac:dyDescent="0.25">
      <c r="A344" s="1"/>
      <c r="B344" s="1"/>
      <c r="C344" s="1"/>
      <c r="D344" s="1"/>
      <c r="E344" s="1"/>
      <c r="F344" s="4"/>
      <c r="G344" s="1"/>
      <c r="H344" s="1"/>
      <c r="I344" s="91">
        <f>Penjabaran!K1220</f>
        <v>0</v>
      </c>
      <c r="J344" s="1"/>
    </row>
    <row r="345" spans="1:10" x14ac:dyDescent="0.25">
      <c r="A345" s="1"/>
      <c r="B345" s="1"/>
      <c r="C345" s="1"/>
      <c r="D345" s="1">
        <v>6</v>
      </c>
      <c r="E345" s="1">
        <v>2</v>
      </c>
      <c r="F345" s="4" t="s">
        <v>2733</v>
      </c>
      <c r="G345" s="1"/>
      <c r="H345" s="1"/>
      <c r="I345" s="91">
        <f>Penjabaran!K1223</f>
        <v>2000000000</v>
      </c>
      <c r="J345" s="1"/>
    </row>
    <row r="346" spans="1:10" x14ac:dyDescent="0.25">
      <c r="A346" s="1"/>
      <c r="B346" s="1"/>
      <c r="C346" s="1"/>
      <c r="D346" s="1"/>
      <c r="E346" s="1"/>
      <c r="F346" s="4"/>
      <c r="G346" s="1"/>
      <c r="H346" s="1"/>
      <c r="I346" s="91">
        <f>Penjabaran!K1224</f>
        <v>0</v>
      </c>
      <c r="J346" s="1"/>
    </row>
    <row r="347" spans="1:10" ht="15.75" thickBot="1" x14ac:dyDescent="0.3">
      <c r="A347" s="1"/>
      <c r="B347" s="1"/>
      <c r="C347" s="1"/>
      <c r="D347" s="1"/>
      <c r="E347" s="1"/>
      <c r="F347" s="1127"/>
      <c r="G347" s="1"/>
      <c r="H347" s="1"/>
      <c r="I347" s="91">
        <f>Penjabaran!K1225</f>
        <v>0</v>
      </c>
      <c r="J347" s="1"/>
    </row>
    <row r="348" spans="1:10" ht="15.75" thickBot="1" x14ac:dyDescent="0.3">
      <c r="A348" s="1489"/>
      <c r="B348" s="1489"/>
      <c r="C348" s="1489"/>
      <c r="D348" s="1489"/>
      <c r="E348" s="1489"/>
      <c r="F348" s="1497" t="s">
        <v>2735</v>
      </c>
      <c r="G348" s="1489"/>
      <c r="H348" s="1489"/>
      <c r="I348" s="91">
        <f>Penjabaran!K1226</f>
        <v>-41471618.980000019</v>
      </c>
      <c r="J348" s="1489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91"/>
      <c r="J349" s="1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91"/>
      <c r="J350" s="1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91"/>
      <c r="J351" s="1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91"/>
      <c r="J352" s="1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91"/>
      <c r="J353" s="1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91"/>
      <c r="J354" s="1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91"/>
      <c r="J355" s="1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91"/>
      <c r="J356" s="1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91"/>
      <c r="J357" s="1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91"/>
      <c r="J358" s="1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91"/>
      <c r="J359" s="1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91"/>
      <c r="J360" s="1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91"/>
      <c r="J361" s="1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91"/>
      <c r="J362" s="1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91"/>
      <c r="J363" s="1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91"/>
      <c r="J364" s="1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91"/>
      <c r="J365" s="1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91"/>
      <c r="J366" s="1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91"/>
      <c r="J367" s="1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91"/>
      <c r="J368" s="1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91"/>
      <c r="J369" s="1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91"/>
      <c r="J370" s="1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91"/>
      <c r="J371" s="1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91"/>
      <c r="J372" s="1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91"/>
      <c r="J373" s="1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91"/>
      <c r="J374" s="1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91"/>
      <c r="J375" s="1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91"/>
      <c r="J376" s="1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91"/>
      <c r="J377" s="1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91"/>
      <c r="J378" s="1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91"/>
      <c r="J379" s="1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91"/>
      <c r="J380" s="1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9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9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9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9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9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9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9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9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9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9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9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9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91"/>
      <c r="J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91"/>
      <c r="J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91"/>
      <c r="J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91"/>
      <c r="J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91"/>
      <c r="J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91"/>
      <c r="J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9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9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9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9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9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9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9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9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9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9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9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9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9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9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9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9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9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9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9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9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9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9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9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9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9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9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9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9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9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9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9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9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9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9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9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9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9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9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9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9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9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9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9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9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9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9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9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9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9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9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9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9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9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9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9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9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9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9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9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9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9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9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9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9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9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9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9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9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9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9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9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9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9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9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9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9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9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9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9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9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9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9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9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9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9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9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9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9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9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9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9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9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9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9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9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9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9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9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9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9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9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9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9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9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9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9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9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9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9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9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9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9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9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9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9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9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9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9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9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9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9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9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9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91"/>
      <c r="J522" s="1"/>
    </row>
  </sheetData>
  <autoFilter ref="A27:J340" xr:uid="{073F964A-E024-40C1-9D5E-2F8F97306859}"/>
  <mergeCells count="11">
    <mergeCell ref="A18:C18"/>
    <mergeCell ref="D18:E18"/>
    <mergeCell ref="A2:H2"/>
    <mergeCell ref="A12:J12"/>
    <mergeCell ref="A13:J13"/>
    <mergeCell ref="A14:J14"/>
    <mergeCell ref="A16:E17"/>
    <mergeCell ref="F16:F17"/>
    <mergeCell ref="G16:H16"/>
    <mergeCell ref="I16:I17"/>
    <mergeCell ref="J16:J17"/>
  </mergeCells>
  <pageMargins left="0.7" right="0.7" top="0.75" bottom="1.75" header="0.3" footer="0.3"/>
  <pageSetup paperSize="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65"/>
  <sheetViews>
    <sheetView workbookViewId="0">
      <selection activeCell="Y4" sqref="Y4"/>
    </sheetView>
  </sheetViews>
  <sheetFormatPr defaultRowHeight="15" x14ac:dyDescent="0.25"/>
  <cols>
    <col min="5" max="5" width="25" customWidth="1"/>
    <col min="6" max="6" width="20.140625" customWidth="1"/>
    <col min="7" max="7" width="17.85546875" customWidth="1"/>
    <col min="8" max="8" width="15.85546875" customWidth="1"/>
    <col min="9" max="9" width="17.85546875" customWidth="1"/>
    <col min="10" max="10" width="16.140625" customWidth="1"/>
    <col min="11" max="11" width="16" customWidth="1"/>
    <col min="12" max="12" width="18.5703125" customWidth="1"/>
    <col min="13" max="13" width="16.42578125" customWidth="1"/>
    <col min="14" max="14" width="16.5703125" customWidth="1"/>
    <col min="15" max="15" width="17.85546875" customWidth="1"/>
    <col min="16" max="16" width="17" customWidth="1"/>
    <col min="17" max="17" width="16.28515625" customWidth="1"/>
    <col min="18" max="18" width="17.7109375" customWidth="1"/>
    <col min="19" max="19" width="15.42578125" customWidth="1"/>
    <col min="20" max="20" width="13.42578125" customWidth="1"/>
    <col min="21" max="21" width="15.28515625" customWidth="1"/>
    <col min="22" max="22" width="16.7109375" customWidth="1"/>
    <col min="24" max="24" width="18.140625" customWidth="1"/>
    <col min="25" max="25" width="27.7109375" customWidth="1"/>
    <col min="26" max="26" width="18.42578125" customWidth="1"/>
  </cols>
  <sheetData>
    <row r="2" spans="2:26" x14ac:dyDescent="0.25">
      <c r="L2" s="32">
        <f>L4+M4</f>
        <v>320826400</v>
      </c>
      <c r="M2" s="32"/>
      <c r="U2" s="32"/>
    </row>
    <row r="3" spans="2:26" ht="30" x14ac:dyDescent="0.25">
      <c r="E3" s="129" t="s">
        <v>1711</v>
      </c>
      <c r="F3" s="129" t="s">
        <v>1409</v>
      </c>
      <c r="G3" s="129" t="s">
        <v>1845</v>
      </c>
      <c r="H3" s="129" t="s">
        <v>2565</v>
      </c>
      <c r="I3" s="129" t="s">
        <v>1605</v>
      </c>
      <c r="J3" s="1136" t="s">
        <v>2579</v>
      </c>
      <c r="K3" s="129" t="s">
        <v>2567</v>
      </c>
      <c r="L3" s="129" t="s">
        <v>1417</v>
      </c>
      <c r="M3" s="129" t="s">
        <v>2568</v>
      </c>
      <c r="N3" s="129" t="s">
        <v>2569</v>
      </c>
      <c r="O3" s="129" t="s">
        <v>2570</v>
      </c>
      <c r="P3" s="129" t="s">
        <v>2571</v>
      </c>
      <c r="Q3" s="129" t="s">
        <v>2572</v>
      </c>
      <c r="R3" s="129" t="s">
        <v>2573</v>
      </c>
      <c r="S3" s="1136" t="s">
        <v>2574</v>
      </c>
      <c r="T3" s="1136" t="s">
        <v>2580</v>
      </c>
      <c r="U3" s="129" t="s">
        <v>2778</v>
      </c>
      <c r="V3" s="129" t="s">
        <v>2581</v>
      </c>
      <c r="X3" s="172">
        <f>SUM(E4:V4)</f>
        <v>13450679436.02</v>
      </c>
      <c r="Y3" s="172">
        <f>SUM(N4:U4)</f>
        <v>1979778381.02</v>
      </c>
    </row>
    <row r="4" spans="2:26" x14ac:dyDescent="0.25">
      <c r="E4" s="83">
        <v>1077193000</v>
      </c>
      <c r="F4" s="83">
        <v>3024982104</v>
      </c>
      <c r="G4" s="83">
        <v>4415022432</v>
      </c>
      <c r="H4" s="83">
        <v>39373569</v>
      </c>
      <c r="I4" s="83">
        <v>2450000000</v>
      </c>
      <c r="J4" s="83">
        <v>74400000</v>
      </c>
      <c r="K4" s="83">
        <v>24103550</v>
      </c>
      <c r="L4" s="83">
        <v>221569600</v>
      </c>
      <c r="M4" s="83">
        <v>99256800</v>
      </c>
      <c r="N4" s="83">
        <v>250875187.09</v>
      </c>
      <c r="O4" s="83">
        <v>887776741</v>
      </c>
      <c r="P4" s="83">
        <v>546436006</v>
      </c>
      <c r="Q4" s="83">
        <v>24614713.18</v>
      </c>
      <c r="R4" s="83">
        <v>237276633</v>
      </c>
      <c r="S4" s="83">
        <v>11249100.75</v>
      </c>
      <c r="T4" s="83">
        <v>300000</v>
      </c>
      <c r="U4" s="83">
        <v>21250000</v>
      </c>
      <c r="V4" s="83">
        <v>45000000</v>
      </c>
      <c r="X4" s="172" t="s">
        <v>26</v>
      </c>
      <c r="Y4" s="172"/>
      <c r="Z4" s="172"/>
    </row>
    <row r="5" spans="2:26" x14ac:dyDescent="0.25">
      <c r="E5" s="83"/>
      <c r="G5" s="83"/>
      <c r="X5" s="83"/>
    </row>
    <row r="6" spans="2:26" x14ac:dyDescent="0.25">
      <c r="G6" s="32"/>
      <c r="H6" s="32"/>
      <c r="X6" s="32"/>
    </row>
    <row r="7" spans="2:26" x14ac:dyDescent="0.25">
      <c r="B7" t="s">
        <v>1083</v>
      </c>
    </row>
    <row r="8" spans="2:26" x14ac:dyDescent="0.25">
      <c r="B8" t="s">
        <v>2435</v>
      </c>
      <c r="E8" s="83">
        <f>'BID I'!I2</f>
        <v>31110700</v>
      </c>
      <c r="F8" s="83">
        <f>'BID I'!J2</f>
        <v>1228342564</v>
      </c>
      <c r="G8" s="83">
        <f>'BID I'!K2</f>
        <v>1950066177.2</v>
      </c>
      <c r="H8" s="83">
        <f>'BID I'!L2</f>
        <v>0</v>
      </c>
      <c r="I8" s="83">
        <f>'BID I'!M2</f>
        <v>0</v>
      </c>
      <c r="J8" s="83">
        <f>'BID I'!N2</f>
        <v>74400000</v>
      </c>
      <c r="K8" s="83">
        <f>'BID I'!O2</f>
        <v>1020000</v>
      </c>
      <c r="L8" s="83">
        <f>'BID I'!P2</f>
        <v>127672600</v>
      </c>
      <c r="M8" s="83">
        <f>'BID I'!Q2</f>
        <v>31000000</v>
      </c>
      <c r="N8" s="83">
        <f>'BID I'!R2</f>
        <v>0</v>
      </c>
      <c r="O8" s="83">
        <f>'BID I'!S2</f>
        <v>126879000</v>
      </c>
      <c r="P8" s="83">
        <f>'BID I'!T2</f>
        <v>118176000</v>
      </c>
      <c r="Q8" s="83">
        <f>'BID I'!U2</f>
        <v>0</v>
      </c>
      <c r="R8" s="83">
        <f>'BID I'!V2</f>
        <v>80817633</v>
      </c>
      <c r="S8" s="83">
        <f>'BID I'!W2</f>
        <v>11249100.75</v>
      </c>
      <c r="T8" s="83">
        <f>'BID I'!X2</f>
        <v>300000</v>
      </c>
      <c r="U8" s="83">
        <f>'BID I'!Y2</f>
        <v>21250000</v>
      </c>
      <c r="V8" s="83"/>
      <c r="X8" s="83">
        <f t="shared" ref="X8:X14" si="0">SUM(E8:V8)</f>
        <v>3802283774.9499998</v>
      </c>
      <c r="Y8" s="172">
        <f>'BID I'!F1506</f>
        <v>3802283774.9500003</v>
      </c>
      <c r="Z8" s="172">
        <f t="shared" ref="Z8:Z13" si="1">X8-Y8</f>
        <v>0</v>
      </c>
    </row>
    <row r="9" spans="2:26" x14ac:dyDescent="0.25">
      <c r="B9" t="s">
        <v>2436</v>
      </c>
      <c r="E9" s="83">
        <f>'BID II'!J2</f>
        <v>854641300</v>
      </c>
      <c r="F9" s="83">
        <f>'BID II'!K2</f>
        <v>1426205640</v>
      </c>
      <c r="G9" s="83">
        <f>'BID II'!L2</f>
        <v>224897754.80000001</v>
      </c>
      <c r="H9" s="83">
        <f>'BID II'!M2</f>
        <v>15040000</v>
      </c>
      <c r="I9" s="83">
        <f>'BID II'!N2</f>
        <v>0</v>
      </c>
      <c r="J9" s="83">
        <f>'BID II'!O2</f>
        <v>0</v>
      </c>
      <c r="K9" s="83">
        <f>'BID II'!P2</f>
        <v>21863550</v>
      </c>
      <c r="L9" s="83">
        <f>'BID II'!Q2</f>
        <v>85782000</v>
      </c>
      <c r="M9" s="83">
        <f>'BID II'!R2</f>
        <v>68256800</v>
      </c>
      <c r="N9" s="83">
        <f>'BID II'!S2</f>
        <v>236084187.09</v>
      </c>
      <c r="O9" s="83">
        <f>'BID II'!T2</f>
        <v>346852741</v>
      </c>
      <c r="P9" s="83">
        <f>'BID II'!U2</f>
        <v>295252006</v>
      </c>
      <c r="Q9" s="83">
        <f>'BID II'!V2</f>
        <v>18126713.18</v>
      </c>
      <c r="R9" s="83">
        <f>'BID II'!W2</f>
        <v>156459000</v>
      </c>
      <c r="S9" s="83">
        <f>'BID II'!X2</f>
        <v>0</v>
      </c>
      <c r="T9" s="83">
        <f>'BID II'!Y2</f>
        <v>0</v>
      </c>
      <c r="U9" s="83"/>
      <c r="V9" s="83">
        <f>'BID II'!Z2</f>
        <v>0</v>
      </c>
      <c r="X9" s="83">
        <f t="shared" si="0"/>
        <v>3749461692.0700002</v>
      </c>
      <c r="Y9" s="172">
        <f>'BID II'!F3166</f>
        <v>3749461692.0700002</v>
      </c>
      <c r="Z9" s="172">
        <f t="shared" si="1"/>
        <v>0</v>
      </c>
    </row>
    <row r="10" spans="2:26" x14ac:dyDescent="0.25">
      <c r="B10" t="s">
        <v>2576</v>
      </c>
      <c r="E10" s="83">
        <f>'BID III'!J2</f>
        <v>0</v>
      </c>
      <c r="F10" s="83">
        <f>'BID III'!K2</f>
        <v>337368600</v>
      </c>
      <c r="G10" s="83">
        <f>'BID III'!L2</f>
        <v>117828500</v>
      </c>
      <c r="H10" s="83">
        <f>'BID III'!M2</f>
        <v>24333569</v>
      </c>
      <c r="I10" s="83">
        <f>'BID III'!N2</f>
        <v>2450000000</v>
      </c>
      <c r="J10" s="83">
        <f>'BID III'!O2</f>
        <v>0</v>
      </c>
      <c r="K10" s="83">
        <f>'BID III'!P2</f>
        <v>1220000</v>
      </c>
      <c r="L10" s="83">
        <f>'BID III'!Q2</f>
        <v>6910000</v>
      </c>
      <c r="M10" s="83">
        <f>'BID III'!R2</f>
        <v>0</v>
      </c>
      <c r="N10" s="83">
        <f>'BID III'!S2</f>
        <v>0</v>
      </c>
      <c r="O10" s="83">
        <f>'BID III'!T2</f>
        <v>414045000</v>
      </c>
      <c r="P10" s="83">
        <f>'BID III'!U2</f>
        <v>133008000</v>
      </c>
      <c r="Q10" s="83">
        <f>'BID III'!V2</f>
        <v>6488000</v>
      </c>
      <c r="R10" s="83">
        <f>'BID III'!W2</f>
        <v>0</v>
      </c>
      <c r="S10" s="83">
        <f>'BID III'!X2</f>
        <v>0</v>
      </c>
      <c r="T10" s="83">
        <f>'BID III'!Y2</f>
        <v>0</v>
      </c>
      <c r="U10" s="83"/>
      <c r="V10" s="83">
        <f>'BID III'!Z2</f>
        <v>45000000</v>
      </c>
      <c r="X10" s="83">
        <f t="shared" si="0"/>
        <v>3536201669</v>
      </c>
      <c r="Y10" s="172">
        <f>'BID III'!F1578</f>
        <v>3536201669</v>
      </c>
      <c r="Z10" s="172">
        <f t="shared" si="1"/>
        <v>0</v>
      </c>
    </row>
    <row r="11" spans="2:26" x14ac:dyDescent="0.25">
      <c r="B11" t="s">
        <v>2577</v>
      </c>
      <c r="E11" s="83">
        <f>'BID IV'!L2</f>
        <v>33041000</v>
      </c>
      <c r="F11" s="83">
        <f>'BID IV'!M2</f>
        <v>33065300</v>
      </c>
      <c r="G11" s="83">
        <f>'BID IV'!N2</f>
        <v>2122230000</v>
      </c>
      <c r="H11" s="83">
        <f>'BID IV'!O2</f>
        <v>0</v>
      </c>
      <c r="I11" s="83">
        <f>'BID IV'!P2</f>
        <v>0</v>
      </c>
      <c r="J11" s="83">
        <f>'BID IV'!Q2</f>
        <v>0</v>
      </c>
      <c r="K11" s="83">
        <f>'BID IV'!R2</f>
        <v>0</v>
      </c>
      <c r="L11" s="83">
        <f>'BID IV'!S2</f>
        <v>1205000</v>
      </c>
      <c r="M11" s="83">
        <f>'BID IV'!T2</f>
        <v>0</v>
      </c>
      <c r="N11" s="83">
        <f>'BID IV'!U2</f>
        <v>14791000</v>
      </c>
      <c r="O11" s="83">
        <f>'BID IV'!V2</f>
        <v>0</v>
      </c>
      <c r="P11" s="83">
        <f>'BID IV'!W2</f>
        <v>0</v>
      </c>
      <c r="Q11" s="83">
        <f>'BID IV'!X2</f>
        <v>0</v>
      </c>
      <c r="R11" s="83">
        <f>'BID IV'!Y2</f>
        <v>0</v>
      </c>
      <c r="S11" s="83">
        <f>'BID IV'!Z2</f>
        <v>0</v>
      </c>
      <c r="T11" s="83">
        <f>'BID IV'!AA2</f>
        <v>0</v>
      </c>
      <c r="U11" s="83"/>
      <c r="V11" s="83">
        <f>'BID IV'!AB2</f>
        <v>0</v>
      </c>
      <c r="X11" s="83">
        <f t="shared" si="0"/>
        <v>2204332300</v>
      </c>
      <c r="Y11" s="172">
        <f>'BID IV'!F727</f>
        <v>2204332300</v>
      </c>
      <c r="Z11" s="172">
        <f t="shared" si="1"/>
        <v>0</v>
      </c>
    </row>
    <row r="12" spans="2:26" x14ac:dyDescent="0.25">
      <c r="B12" t="s">
        <v>2578</v>
      </c>
      <c r="E12" s="83">
        <f>'BID V'!J2</f>
        <v>158400000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X12" s="83">
        <f t="shared" si="0"/>
        <v>158400000</v>
      </c>
      <c r="Y12" s="1483">
        <f>'BID V'!F18</f>
        <v>158400000</v>
      </c>
      <c r="Z12" s="172">
        <f t="shared" si="1"/>
        <v>0</v>
      </c>
    </row>
    <row r="13" spans="2:26" x14ac:dyDescent="0.25">
      <c r="B13" t="s">
        <v>26</v>
      </c>
      <c r="E13" s="172">
        <f>SUM(E8:E12)</f>
        <v>1077193000</v>
      </c>
      <c r="F13" s="172">
        <f t="shared" ref="F13:V13" si="2">SUM(F8:F12)</f>
        <v>3024982104</v>
      </c>
      <c r="G13" s="172">
        <f t="shared" si="2"/>
        <v>4415022432</v>
      </c>
      <c r="H13" s="172">
        <f t="shared" si="2"/>
        <v>39373569</v>
      </c>
      <c r="I13" s="172">
        <f t="shared" si="2"/>
        <v>2450000000</v>
      </c>
      <c r="J13" s="172">
        <f t="shared" si="2"/>
        <v>74400000</v>
      </c>
      <c r="K13" s="172">
        <f t="shared" si="2"/>
        <v>24103550</v>
      </c>
      <c r="L13" s="172">
        <f t="shared" si="2"/>
        <v>221569600</v>
      </c>
      <c r="M13" s="172">
        <f t="shared" si="2"/>
        <v>99256800</v>
      </c>
      <c r="N13" s="172">
        <f t="shared" si="2"/>
        <v>250875187.09</v>
      </c>
      <c r="O13" s="172">
        <f t="shared" si="2"/>
        <v>887776741</v>
      </c>
      <c r="P13" s="172">
        <f t="shared" si="2"/>
        <v>546436006</v>
      </c>
      <c r="Q13" s="172">
        <f t="shared" si="2"/>
        <v>24614713.18</v>
      </c>
      <c r="R13" s="172">
        <f t="shared" si="2"/>
        <v>237276633</v>
      </c>
      <c r="S13" s="172">
        <f t="shared" si="2"/>
        <v>11249100.75</v>
      </c>
      <c r="T13" s="172">
        <f t="shared" si="2"/>
        <v>300000</v>
      </c>
      <c r="U13" s="172">
        <f>U8</f>
        <v>21250000</v>
      </c>
      <c r="V13" s="172">
        <f t="shared" si="2"/>
        <v>45000000</v>
      </c>
      <c r="X13" s="172">
        <f t="shared" si="0"/>
        <v>13450679436.02</v>
      </c>
      <c r="Y13" s="172">
        <f>SUM(Y8:Y12)</f>
        <v>13450679436.02</v>
      </c>
      <c r="Z13" s="172">
        <f t="shared" si="1"/>
        <v>0</v>
      </c>
    </row>
    <row r="14" spans="2:26" x14ac:dyDescent="0.25">
      <c r="B14" t="s">
        <v>2592</v>
      </c>
      <c r="E14" s="32">
        <f>E4-E13</f>
        <v>0</v>
      </c>
      <c r="F14" s="32">
        <f t="shared" ref="F14:T14" si="3">F4-F13</f>
        <v>0</v>
      </c>
      <c r="G14" s="32">
        <f t="shared" si="3"/>
        <v>0</v>
      </c>
      <c r="H14" s="32">
        <f t="shared" si="3"/>
        <v>0</v>
      </c>
      <c r="I14" s="32">
        <f t="shared" si="3"/>
        <v>0</v>
      </c>
      <c r="J14" s="32">
        <f t="shared" si="3"/>
        <v>0</v>
      </c>
      <c r="K14" s="32">
        <f t="shared" si="3"/>
        <v>0</v>
      </c>
      <c r="L14" s="32">
        <f t="shared" si="3"/>
        <v>0</v>
      </c>
      <c r="M14" s="32">
        <f t="shared" si="3"/>
        <v>0</v>
      </c>
      <c r="N14" s="32">
        <f t="shared" si="3"/>
        <v>0</v>
      </c>
      <c r="O14" s="32">
        <f t="shared" si="3"/>
        <v>0</v>
      </c>
      <c r="P14" s="32">
        <f t="shared" si="3"/>
        <v>0</v>
      </c>
      <c r="Q14" s="32">
        <f t="shared" si="3"/>
        <v>0</v>
      </c>
      <c r="R14" s="32">
        <f t="shared" si="3"/>
        <v>0</v>
      </c>
      <c r="S14" s="32">
        <f t="shared" si="3"/>
        <v>0</v>
      </c>
      <c r="T14" s="32">
        <f t="shared" si="3"/>
        <v>0</v>
      </c>
      <c r="U14" s="32"/>
      <c r="V14" s="32"/>
      <c r="X14" s="172">
        <f t="shared" si="0"/>
        <v>0</v>
      </c>
    </row>
    <row r="15" spans="2:26" x14ac:dyDescent="0.25">
      <c r="E15" s="32"/>
      <c r="F15" s="32"/>
      <c r="G15" s="83"/>
      <c r="J15" s="32"/>
      <c r="K15" s="32"/>
      <c r="M15" s="32"/>
      <c r="N15" s="32"/>
      <c r="O15" s="32"/>
      <c r="P15" s="32">
        <f>P14+'BID II'!F2997</f>
        <v>135932.90999996662</v>
      </c>
      <c r="Q15" s="32"/>
      <c r="R15" s="32"/>
      <c r="S15" s="32"/>
      <c r="V15" s="172"/>
      <c r="X15" s="32"/>
    </row>
    <row r="16" spans="2:26" x14ac:dyDescent="0.25">
      <c r="E16" s="32"/>
      <c r="F16" s="32"/>
      <c r="G16" s="32"/>
      <c r="L16" s="32"/>
      <c r="O16" s="32"/>
      <c r="P16" s="32"/>
      <c r="R16" s="32"/>
    </row>
    <row r="17" spans="5:18" x14ac:dyDescent="0.25">
      <c r="E17" s="1082">
        <v>0.2</v>
      </c>
      <c r="F17" s="32">
        <f>E4*E17</f>
        <v>215438600</v>
      </c>
      <c r="R17" s="32">
        <f>R14/4</f>
        <v>0</v>
      </c>
    </row>
    <row r="18" spans="5:18" x14ac:dyDescent="0.25">
      <c r="E18" t="s">
        <v>2599</v>
      </c>
      <c r="F18" s="1082">
        <v>0.15</v>
      </c>
    </row>
    <row r="19" spans="5:18" x14ac:dyDescent="0.25">
      <c r="F19" s="32">
        <f>E4*F18</f>
        <v>161578950</v>
      </c>
    </row>
    <row r="20" spans="5:18" x14ac:dyDescent="0.25">
      <c r="F20">
        <v>300000</v>
      </c>
      <c r="G20" s="83">
        <f>300000*12</f>
        <v>3600000</v>
      </c>
    </row>
    <row r="21" spans="5:18" x14ac:dyDescent="0.25">
      <c r="F21">
        <f>F20*12</f>
        <v>3600000</v>
      </c>
      <c r="G21">
        <f>F19/G20</f>
        <v>44.883041666666664</v>
      </c>
    </row>
    <row r="22" spans="5:18" x14ac:dyDescent="0.25">
      <c r="F22" s="32">
        <f>F19/F21</f>
        <v>44.883041666666664</v>
      </c>
      <c r="G22" s="32">
        <f>G20*37</f>
        <v>133200000</v>
      </c>
    </row>
    <row r="23" spans="5:18" x14ac:dyDescent="0.25">
      <c r="F23" s="83">
        <v>300000</v>
      </c>
    </row>
    <row r="24" spans="5:18" x14ac:dyDescent="0.25">
      <c r="E24" s="1082">
        <v>0.03</v>
      </c>
      <c r="F24">
        <v>12</v>
      </c>
    </row>
    <row r="25" spans="5:18" x14ac:dyDescent="0.25">
      <c r="E25" s="32">
        <f>E4*E24</f>
        <v>32315790</v>
      </c>
      <c r="F25" s="32">
        <f>F23*F24</f>
        <v>3600000</v>
      </c>
    </row>
    <row r="26" spans="5:18" x14ac:dyDescent="0.25">
      <c r="F26" s="32">
        <f>F25*44</f>
        <v>158400000</v>
      </c>
      <c r="G26" s="32"/>
    </row>
    <row r="27" spans="5:18" x14ac:dyDescent="0.25">
      <c r="E27" t="s">
        <v>2600</v>
      </c>
      <c r="F27" s="83">
        <f>'BID II'!F2104+'BID II'!F2067+'BID II'!F2023+'BID II'!F1991+'BID II'!F1953+'BID II'!F1917+'BID II'!F1879+'BID II'!F1841+'BID II'!F1801+'BID II'!F1770</f>
        <v>820547300</v>
      </c>
      <c r="H27" t="s">
        <v>2620</v>
      </c>
    </row>
    <row r="28" spans="5:18" x14ac:dyDescent="0.25">
      <c r="F28" s="32">
        <f>F27-F14</f>
        <v>820547300</v>
      </c>
      <c r="H28" t="s">
        <v>2624</v>
      </c>
      <c r="I28" t="s">
        <v>2622</v>
      </c>
      <c r="J28" t="s">
        <v>2621</v>
      </c>
    </row>
    <row r="29" spans="5:18" x14ac:dyDescent="0.25">
      <c r="G29" t="s">
        <v>2623</v>
      </c>
      <c r="H29" s="83">
        <f>5500000+8700000</f>
        <v>14200000</v>
      </c>
      <c r="I29" s="32">
        <f>H29*6.24%</f>
        <v>886080</v>
      </c>
      <c r="J29" s="32">
        <f>H29*3%</f>
        <v>426000</v>
      </c>
    </row>
    <row r="30" spans="5:18" x14ac:dyDescent="0.25">
      <c r="G30" t="s">
        <v>189</v>
      </c>
      <c r="H30" s="83">
        <f>3500000+4500000</f>
        <v>8000000</v>
      </c>
      <c r="I30" s="83">
        <f>H30*6.24%</f>
        <v>499200.00000000006</v>
      </c>
      <c r="J30" s="32">
        <f>H30*3%</f>
        <v>240000</v>
      </c>
      <c r="L30" t="s">
        <v>2931</v>
      </c>
      <c r="M30" s="83">
        <v>2900000</v>
      </c>
    </row>
    <row r="31" spans="5:18" x14ac:dyDescent="0.25">
      <c r="E31" t="s">
        <v>2601</v>
      </c>
      <c r="F31" s="83">
        <v>250675600</v>
      </c>
      <c r="G31" t="s">
        <v>2625</v>
      </c>
      <c r="H31" s="83">
        <f>2900000+2500000</f>
        <v>5400000</v>
      </c>
      <c r="I31" s="32">
        <f>H31*6.24%</f>
        <v>336960</v>
      </c>
      <c r="J31" s="32">
        <f>H31*3%</f>
        <v>162000</v>
      </c>
      <c r="L31" t="s">
        <v>2932</v>
      </c>
      <c r="M31" s="83">
        <v>2100000</v>
      </c>
    </row>
    <row r="32" spans="5:18" x14ac:dyDescent="0.25">
      <c r="E32" t="s">
        <v>2602</v>
      </c>
      <c r="F32" s="83">
        <v>10210200</v>
      </c>
      <c r="G32" t="s">
        <v>2626</v>
      </c>
      <c r="H32" s="83">
        <f>2900000+2100000</f>
        <v>5000000</v>
      </c>
      <c r="I32" s="32">
        <f>H32*6.24%</f>
        <v>312000</v>
      </c>
      <c r="J32" s="32">
        <f>H32*3%</f>
        <v>150000</v>
      </c>
      <c r="L32" t="s">
        <v>2933</v>
      </c>
      <c r="M32" s="83"/>
    </row>
    <row r="33" spans="5:13" x14ac:dyDescent="0.25">
      <c r="E33" t="s">
        <v>2603</v>
      </c>
      <c r="F33" s="83">
        <v>173861040</v>
      </c>
      <c r="L33" t="s">
        <v>2934</v>
      </c>
      <c r="M33" s="83">
        <v>12960</v>
      </c>
    </row>
    <row r="34" spans="5:13" x14ac:dyDescent="0.25">
      <c r="E34" t="s">
        <v>2604</v>
      </c>
      <c r="F34" s="83">
        <v>142962360</v>
      </c>
      <c r="L34" t="s">
        <v>2935</v>
      </c>
      <c r="M34" s="83">
        <v>16200</v>
      </c>
    </row>
    <row r="35" spans="5:13" x14ac:dyDescent="0.25">
      <c r="E35" t="s">
        <v>2605</v>
      </c>
      <c r="F35" s="83">
        <v>51524106</v>
      </c>
      <c r="L35" t="s">
        <v>2936</v>
      </c>
      <c r="M35" s="83">
        <v>131925</v>
      </c>
    </row>
    <row r="36" spans="5:13" x14ac:dyDescent="0.25">
      <c r="E36" t="s">
        <v>2606</v>
      </c>
      <c r="F36" s="83">
        <v>80696460</v>
      </c>
      <c r="M36" s="172">
        <f>SUM(M30:M35)</f>
        <v>5161085</v>
      </c>
    </row>
    <row r="37" spans="5:13" x14ac:dyDescent="0.25">
      <c r="E37" t="s">
        <v>2607</v>
      </c>
      <c r="F37" s="83">
        <v>46305820</v>
      </c>
      <c r="M37" s="32">
        <f>M36*12</f>
        <v>61933020</v>
      </c>
    </row>
    <row r="38" spans="5:13" x14ac:dyDescent="0.25">
      <c r="E38" t="s">
        <v>2608</v>
      </c>
      <c r="F38" s="83">
        <v>1723800</v>
      </c>
    </row>
    <row r="39" spans="5:13" x14ac:dyDescent="0.25">
      <c r="E39" t="s">
        <v>2609</v>
      </c>
      <c r="F39" s="83">
        <v>18617760</v>
      </c>
    </row>
    <row r="40" spans="5:13" x14ac:dyDescent="0.25">
      <c r="E40" t="s">
        <v>2610</v>
      </c>
      <c r="F40" s="83">
        <v>51524106</v>
      </c>
    </row>
    <row r="41" spans="5:13" x14ac:dyDescent="0.25">
      <c r="F41" s="172">
        <f>SUM(F31:F40)</f>
        <v>828101252</v>
      </c>
    </row>
    <row r="49" spans="4:7" x14ac:dyDescent="0.25">
      <c r="E49" t="s">
        <v>2616</v>
      </c>
      <c r="F49" t="s">
        <v>2617</v>
      </c>
      <c r="G49" t="s">
        <v>2618</v>
      </c>
    </row>
    <row r="50" spans="4:7" x14ac:dyDescent="0.25">
      <c r="D50" t="s">
        <v>2619</v>
      </c>
      <c r="E50" s="83">
        <v>5500000</v>
      </c>
    </row>
    <row r="51" spans="4:7" x14ac:dyDescent="0.25">
      <c r="E51" s="83">
        <v>8700000</v>
      </c>
    </row>
    <row r="52" spans="4:7" x14ac:dyDescent="0.25">
      <c r="E52" s="32">
        <f>E51+E50</f>
        <v>14200000</v>
      </c>
    </row>
    <row r="61" spans="4:7" x14ac:dyDescent="0.25">
      <c r="E61" s="83">
        <v>170000</v>
      </c>
    </row>
    <row r="62" spans="4:7" x14ac:dyDescent="0.25">
      <c r="E62">
        <v>1</v>
      </c>
    </row>
    <row r="63" spans="4:7" x14ac:dyDescent="0.25">
      <c r="E63">
        <v>12.48</v>
      </c>
    </row>
    <row r="64" spans="4:7" x14ac:dyDescent="0.25">
      <c r="E64" s="32">
        <v>13700</v>
      </c>
    </row>
    <row r="65" spans="5:5" x14ac:dyDescent="0.25">
      <c r="E65" s="32">
        <f>E64*E63</f>
        <v>170976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14</vt:i4>
      </vt:variant>
    </vt:vector>
  </HeadingPairs>
  <TitlesOfParts>
    <vt:vector size="38" baseType="lpstr">
      <vt:lpstr>BID I</vt:lpstr>
      <vt:lpstr>BID III</vt:lpstr>
      <vt:lpstr>BID II</vt:lpstr>
      <vt:lpstr>BID IV</vt:lpstr>
      <vt:lpstr>BID V</vt:lpstr>
      <vt:lpstr>Sheet3</vt:lpstr>
      <vt:lpstr>Penjabaran</vt:lpstr>
      <vt:lpstr>Sheet2</vt:lpstr>
      <vt:lpstr>Htungan</vt:lpstr>
      <vt:lpstr>BPJS</vt:lpstr>
      <vt:lpstr>Staf</vt:lpstr>
      <vt:lpstr>RKP2025</vt:lpstr>
      <vt:lpstr>DU RKP</vt:lpstr>
      <vt:lpstr>Prioritas Penggunaan DD 2024</vt:lpstr>
      <vt:lpstr>Hitungan</vt:lpstr>
      <vt:lpstr>Sheet1</vt:lpstr>
      <vt:lpstr>Prioritas Dana Desa</vt:lpstr>
      <vt:lpstr>Rencana Pembiayaan Desa</vt:lpstr>
      <vt:lpstr>Usulan dana desa bid kesehatan</vt:lpstr>
      <vt:lpstr>Daftar Prioritas</vt:lpstr>
      <vt:lpstr>Daftar Usulan SDGs VI B</vt:lpstr>
      <vt:lpstr>Kerja Sama Antar Desa VI.C</vt:lpstr>
      <vt:lpstr>LPPK</vt:lpstr>
      <vt:lpstr>Kerja Sama Pihak Ke 3 VI.D</vt:lpstr>
      <vt:lpstr>'BID I'!Print_Area</vt:lpstr>
      <vt:lpstr>'BID II'!Print_Area</vt:lpstr>
      <vt:lpstr>'BID III'!Print_Area</vt:lpstr>
      <vt:lpstr>BPJS!Print_Area</vt:lpstr>
      <vt:lpstr>'Daftar Prioritas'!Print_Area</vt:lpstr>
      <vt:lpstr>Penjabaran!Print_Area</vt:lpstr>
      <vt:lpstr>'Rencana Pembiayaan Desa'!Print_Area</vt:lpstr>
      <vt:lpstr>'RKP2025'!Print_Area</vt:lpstr>
      <vt:lpstr>Sheet2!Print_Area</vt:lpstr>
      <vt:lpstr>'Usulan dana desa bid kesehatan'!Print_Area</vt:lpstr>
      <vt:lpstr>Penjabaran!Print_Titles</vt:lpstr>
      <vt:lpstr>'RKP2025'!Print_Titles</vt:lpstr>
      <vt:lpstr>Sheet2!Print_Titles</vt:lpstr>
      <vt:lpstr>'Usulan dana desa bid kesehatan'!Print_Titles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agis</dc:creator>
  <cp:lastModifiedBy>Windows User</cp:lastModifiedBy>
  <cp:lastPrinted>2025-01-13T02:54:49Z</cp:lastPrinted>
  <dcterms:created xsi:type="dcterms:W3CDTF">2022-08-08T01:08:34Z</dcterms:created>
  <dcterms:modified xsi:type="dcterms:W3CDTF">2025-12-04T04:34:47Z</dcterms:modified>
</cp:coreProperties>
</file>